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625" windowWidth="12240" windowHeight="2415"/>
  </bookViews>
  <sheets>
    <sheet name="PERSONAL ADMINISTRATIVO" sheetId="18" r:id="rId1"/>
    <sheet name="T Y T" sheetId="20" r:id="rId2"/>
    <sheet name="Hoja1" sheetId="22" r:id="rId3"/>
  </sheets>
  <definedNames>
    <definedName name="Tabisr">'T Y T'!$B$11:$E$21</definedName>
    <definedName name="Tabsub">'T Y T'!$I$11:$K$21</definedName>
  </definedNames>
  <calcPr calcId="145621"/>
</workbook>
</file>

<file path=xl/calcChain.xml><?xml version="1.0" encoding="utf-8"?>
<calcChain xmlns="http://schemas.openxmlformats.org/spreadsheetml/2006/main">
  <c r="S371" i="18" l="1"/>
  <c r="Y146" i="18"/>
  <c r="V146" i="18"/>
  <c r="H139" i="18" l="1"/>
  <c r="H386" i="18" l="1"/>
  <c r="V386" i="18" s="1"/>
  <c r="W386" i="18" s="1"/>
  <c r="H377" i="18" l="1"/>
  <c r="V377" i="18" s="1"/>
  <c r="Z377" i="18" l="1"/>
  <c r="W377" i="18"/>
  <c r="Y377" i="18"/>
  <c r="F19" i="22"/>
  <c r="I271" i="18" l="1"/>
  <c r="H241" i="18"/>
  <c r="Y241" i="18" l="1"/>
  <c r="L241" i="18"/>
  <c r="V241" i="18"/>
  <c r="N241" i="18"/>
  <c r="J178" i="18"/>
  <c r="W241" i="18" l="1"/>
  <c r="Z241" i="18"/>
  <c r="H238" i="18"/>
  <c r="H239" i="18"/>
  <c r="N239" i="18" s="1"/>
  <c r="P239" i="18" s="1"/>
  <c r="V239" i="18" s="1"/>
  <c r="W239" i="18" s="1"/>
  <c r="H240" i="18"/>
  <c r="L240" i="18" s="1"/>
  <c r="H242" i="18"/>
  <c r="K242" i="18" s="1"/>
  <c r="L242" i="18" s="1"/>
  <c r="H243" i="18"/>
  <c r="K243" i="18" s="1"/>
  <c r="L243" i="18" s="1"/>
  <c r="H244" i="18"/>
  <c r="M244" i="18" s="1"/>
  <c r="J181" i="18"/>
  <c r="J184" i="18"/>
  <c r="Q242" i="18" l="1"/>
  <c r="N243" i="18"/>
  <c r="P243" i="18" s="1"/>
  <c r="M243" i="18"/>
  <c r="N242" i="18"/>
  <c r="P242" i="18" s="1"/>
  <c r="N240" i="18"/>
  <c r="P240" i="18" s="1"/>
  <c r="V240" i="18" s="1"/>
  <c r="K244" i="18"/>
  <c r="L244" i="18" s="1"/>
  <c r="Q244" i="18"/>
  <c r="N244" i="18"/>
  <c r="P244" i="18" s="1"/>
  <c r="Q243" i="18"/>
  <c r="M242" i="18"/>
  <c r="I219" i="18"/>
  <c r="V243" i="18" l="1"/>
  <c r="W243" i="18" s="1"/>
  <c r="V242" i="18"/>
  <c r="W242" i="18" s="1"/>
  <c r="W240" i="18"/>
  <c r="V244" i="18"/>
  <c r="W244" i="18" s="1"/>
  <c r="Y216" i="18" l="1"/>
  <c r="H215" i="18"/>
  <c r="J158" i="18" l="1"/>
  <c r="J182" i="18"/>
  <c r="I233" i="18" l="1"/>
  <c r="I207" i="18"/>
  <c r="I186" i="18"/>
  <c r="I173" i="18"/>
  <c r="I160" i="18"/>
  <c r="I153" i="18"/>
  <c r="I146" i="18"/>
  <c r="I129" i="18"/>
  <c r="I116" i="18"/>
  <c r="I106" i="18"/>
  <c r="I99" i="18"/>
  <c r="I92" i="18"/>
  <c r="I81" i="18"/>
  <c r="I73" i="18"/>
  <c r="I41" i="18"/>
  <c r="I30" i="18"/>
  <c r="I19" i="18"/>
  <c r="M184" i="18" l="1"/>
  <c r="K184" i="18"/>
  <c r="H184" i="18"/>
  <c r="L184" i="18" l="1"/>
  <c r="N184" i="18"/>
  <c r="P184" i="18" s="1"/>
  <c r="J30" i="18" l="1"/>
  <c r="R30" i="18"/>
  <c r="S30" i="18"/>
  <c r="T30" i="18"/>
  <c r="U30" i="18"/>
  <c r="H150" i="18" l="1"/>
  <c r="H77" i="18" l="1"/>
  <c r="L77" i="18" l="1"/>
  <c r="N77" i="18"/>
  <c r="P77" i="18" s="1"/>
  <c r="M353" i="18"/>
  <c r="K353" i="18"/>
  <c r="H353" i="18"/>
  <c r="N353" i="18" s="1"/>
  <c r="V353" i="18" l="1"/>
  <c r="W353" i="18" s="1"/>
  <c r="L353" i="18"/>
  <c r="H68" i="18"/>
  <c r="Z353" i="18" l="1"/>
  <c r="Y353" i="18"/>
  <c r="N68" i="18"/>
  <c r="P68" i="18" s="1"/>
  <c r="I355" i="18" l="1"/>
  <c r="H352" i="18"/>
  <c r="H65" i="18"/>
  <c r="N65" i="18" s="1"/>
  <c r="P65" i="18" s="1"/>
  <c r="J81" i="18"/>
  <c r="O81" i="18"/>
  <c r="R81" i="18"/>
  <c r="S81" i="18"/>
  <c r="T81" i="18"/>
  <c r="U81" i="18"/>
  <c r="N352" i="18" l="1"/>
  <c r="P352" i="18" s="1"/>
  <c r="Y352" i="18" s="1"/>
  <c r="H394" i="18" l="1"/>
  <c r="V394" i="18" s="1"/>
  <c r="W394" i="18" s="1"/>
  <c r="Y394" i="18" l="1"/>
  <c r="Z394" i="18"/>
  <c r="F27" i="22"/>
  <c r="F30" i="22" s="1"/>
  <c r="U402" i="18"/>
  <c r="S402" i="18"/>
  <c r="R402" i="18"/>
  <c r="Q402" i="18"/>
  <c r="P402" i="18"/>
  <c r="N402" i="18"/>
  <c r="M402" i="18"/>
  <c r="L402" i="18"/>
  <c r="K402" i="18"/>
  <c r="J402" i="18"/>
  <c r="I402" i="18"/>
  <c r="H381" i="18"/>
  <c r="Y381" i="18" s="1"/>
  <c r="H401" i="18"/>
  <c r="Y401" i="18" s="1"/>
  <c r="H400" i="18"/>
  <c r="Y400" i="18" s="1"/>
  <c r="H399" i="18"/>
  <c r="Y399" i="18" s="1"/>
  <c r="H398" i="18"/>
  <c r="Y398" i="18" s="1"/>
  <c r="H384" i="18"/>
  <c r="Y384" i="18" s="1"/>
  <c r="H397" i="18"/>
  <c r="Y397" i="18" s="1"/>
  <c r="H396" i="18"/>
  <c r="Y396" i="18" s="1"/>
  <c r="H385" i="18"/>
  <c r="Y385" i="18" s="1"/>
  <c r="H395" i="18"/>
  <c r="Y395" i="18" s="1"/>
  <c r="Y386" i="18"/>
  <c r="H393" i="18"/>
  <c r="Y393" i="18" s="1"/>
  <c r="H392" i="18"/>
  <c r="Y392" i="18" s="1"/>
  <c r="H391" i="18"/>
  <c r="Y391" i="18" s="1"/>
  <c r="H390" i="18"/>
  <c r="Y390" i="18" s="1"/>
  <c r="H389" i="18"/>
  <c r="Y389" i="18" s="1"/>
  <c r="H383" i="18"/>
  <c r="Y383" i="18" s="1"/>
  <c r="H382" i="18"/>
  <c r="Y382" i="18" s="1"/>
  <c r="H388" i="18"/>
  <c r="Y388" i="18" s="1"/>
  <c r="T380" i="18"/>
  <c r="T402" i="18" s="1"/>
  <c r="O380" i="18"/>
  <c r="O402" i="18" s="1"/>
  <c r="H380" i="18"/>
  <c r="Y380" i="18" s="1"/>
  <c r="H379" i="18"/>
  <c r="Y379" i="18" s="1"/>
  <c r="H387" i="18"/>
  <c r="Y387" i="18" s="1"/>
  <c r="H378" i="18"/>
  <c r="H78" i="18"/>
  <c r="Y165" i="18"/>
  <c r="H376" i="18"/>
  <c r="U371" i="18"/>
  <c r="T371" i="18"/>
  <c r="R371" i="18"/>
  <c r="J371" i="18"/>
  <c r="I371" i="18"/>
  <c r="H370" i="18"/>
  <c r="H369" i="18"/>
  <c r="U364" i="18"/>
  <c r="T364" i="18"/>
  <c r="S364" i="18"/>
  <c r="R364" i="18"/>
  <c r="O364" i="18"/>
  <c r="J364" i="18"/>
  <c r="I364" i="18"/>
  <c r="H363" i="18"/>
  <c r="M363" i="18" s="1"/>
  <c r="H362" i="18"/>
  <c r="N362" i="18" s="1"/>
  <c r="P362" i="18" s="1"/>
  <c r="H361" i="18"/>
  <c r="H360" i="18"/>
  <c r="N360" i="18" s="1"/>
  <c r="P360" i="18" s="1"/>
  <c r="H359" i="18"/>
  <c r="U355" i="18"/>
  <c r="T355" i="18"/>
  <c r="S355" i="18"/>
  <c r="R355" i="18"/>
  <c r="O355" i="18"/>
  <c r="J355" i="18"/>
  <c r="H354" i="18"/>
  <c r="H355" i="18" s="1"/>
  <c r="K347" i="18"/>
  <c r="U348" i="18"/>
  <c r="T348" i="18"/>
  <c r="S348" i="18"/>
  <c r="R348" i="18"/>
  <c r="O348" i="18"/>
  <c r="J348" i="18"/>
  <c r="I348" i="18"/>
  <c r="H347" i="18"/>
  <c r="Q363" i="18" s="1"/>
  <c r="H346" i="18"/>
  <c r="Q345" i="18"/>
  <c r="K345" i="18"/>
  <c r="H345" i="18"/>
  <c r="N345" i="18" s="1"/>
  <c r="P345" i="18" s="1"/>
  <c r="H344" i="18"/>
  <c r="H343" i="18"/>
  <c r="U339" i="18"/>
  <c r="T339" i="18"/>
  <c r="S339" i="18"/>
  <c r="R339" i="18"/>
  <c r="O339" i="18"/>
  <c r="J339" i="18"/>
  <c r="I339" i="18"/>
  <c r="H338" i="18"/>
  <c r="H337" i="18"/>
  <c r="N337" i="18" s="1"/>
  <c r="P337" i="18" s="1"/>
  <c r="V337" i="18" s="1"/>
  <c r="H336" i="18"/>
  <c r="U331" i="18"/>
  <c r="T331" i="18"/>
  <c r="S331" i="18"/>
  <c r="R331" i="18"/>
  <c r="O331" i="18"/>
  <c r="J331" i="18"/>
  <c r="I331" i="18"/>
  <c r="H330" i="18"/>
  <c r="H329" i="18"/>
  <c r="H328" i="18"/>
  <c r="H327" i="18"/>
  <c r="Y326" i="18"/>
  <c r="V326" i="18"/>
  <c r="Z326" i="18" s="1"/>
  <c r="N326" i="18"/>
  <c r="H325" i="18"/>
  <c r="U320" i="18"/>
  <c r="T320" i="18"/>
  <c r="S320" i="18"/>
  <c r="R320" i="18"/>
  <c r="J320" i="18"/>
  <c r="I320" i="18"/>
  <c r="H319" i="18"/>
  <c r="N319" i="18" s="1"/>
  <c r="P319" i="18" s="1"/>
  <c r="H318" i="18"/>
  <c r="N318" i="18" s="1"/>
  <c r="P318" i="18" s="1"/>
  <c r="Y318" i="18" s="1"/>
  <c r="H317" i="18"/>
  <c r="Q317" i="18" s="1"/>
  <c r="H316" i="18"/>
  <c r="Q316" i="18" s="1"/>
  <c r="H315" i="18"/>
  <c r="Q315" i="18" s="1"/>
  <c r="H314" i="18"/>
  <c r="Q314" i="18" s="1"/>
  <c r="H313" i="18"/>
  <c r="Q313" i="18" s="1"/>
  <c r="H312" i="18"/>
  <c r="Q312" i="18" s="1"/>
  <c r="H311" i="18"/>
  <c r="M311" i="18" s="1"/>
  <c r="H310" i="18"/>
  <c r="M310" i="18" s="1"/>
  <c r="H309" i="18"/>
  <c r="L309" i="18" s="1"/>
  <c r="H308" i="18"/>
  <c r="H307" i="18"/>
  <c r="N307" i="18" s="1"/>
  <c r="P307" i="18" s="1"/>
  <c r="H306" i="18"/>
  <c r="N306" i="18" s="1"/>
  <c r="P306" i="18" s="1"/>
  <c r="H305" i="18"/>
  <c r="K307" i="18" s="1"/>
  <c r="L307" i="18" s="1"/>
  <c r="H304" i="18"/>
  <c r="H303" i="18"/>
  <c r="N303" i="18" s="1"/>
  <c r="P303" i="18" s="1"/>
  <c r="H302" i="18"/>
  <c r="U297" i="18"/>
  <c r="T297" i="18"/>
  <c r="S297" i="18"/>
  <c r="R297" i="18"/>
  <c r="O297" i="18"/>
  <c r="J297" i="18"/>
  <c r="I297" i="18"/>
  <c r="H296" i="18"/>
  <c r="H295" i="18"/>
  <c r="N295" i="18" s="1"/>
  <c r="P295" i="18" s="1"/>
  <c r="H294" i="18"/>
  <c r="H293" i="18"/>
  <c r="M296" i="18" s="1"/>
  <c r="H292" i="18"/>
  <c r="M249" i="18" s="1"/>
  <c r="H291" i="18"/>
  <c r="U285" i="18"/>
  <c r="T285" i="18"/>
  <c r="S285" i="18"/>
  <c r="R285" i="18"/>
  <c r="O285" i="18"/>
  <c r="J285" i="18"/>
  <c r="I285" i="18"/>
  <c r="H284" i="18"/>
  <c r="N284" i="18" s="1"/>
  <c r="P284" i="18" s="1"/>
  <c r="H283" i="18"/>
  <c r="U277" i="18"/>
  <c r="S277" i="18"/>
  <c r="R277" i="18"/>
  <c r="O277" i="18"/>
  <c r="J277" i="18"/>
  <c r="I277" i="18"/>
  <c r="T276" i="18"/>
  <c r="W408" i="18" s="1"/>
  <c r="H276" i="18"/>
  <c r="H277" i="18" s="1"/>
  <c r="U271" i="18"/>
  <c r="T271" i="18"/>
  <c r="S271" i="18"/>
  <c r="R271" i="18"/>
  <c r="J271" i="18"/>
  <c r="H270" i="18"/>
  <c r="M270" i="18" s="1"/>
  <c r="H269" i="18"/>
  <c r="N269" i="18" s="1"/>
  <c r="P269" i="18" s="1"/>
  <c r="H268" i="18"/>
  <c r="N268" i="18" s="1"/>
  <c r="P268" i="18" s="1"/>
  <c r="H267" i="18"/>
  <c r="N267" i="18" s="1"/>
  <c r="P267" i="18" s="1"/>
  <c r="H266" i="18"/>
  <c r="H264" i="18"/>
  <c r="N264" i="18" s="1"/>
  <c r="H263" i="18"/>
  <c r="N263" i="18" s="1"/>
  <c r="P263" i="18" s="1"/>
  <c r="H262" i="18"/>
  <c r="H261" i="18"/>
  <c r="H260" i="18"/>
  <c r="H259" i="18"/>
  <c r="N259" i="18" s="1"/>
  <c r="P259" i="18" s="1"/>
  <c r="H258" i="18"/>
  <c r="H257" i="18"/>
  <c r="Q259" i="18" s="1"/>
  <c r="Q256" i="18"/>
  <c r="H256" i="18"/>
  <c r="H255" i="18"/>
  <c r="Q255" i="18" s="1"/>
  <c r="H254" i="18"/>
  <c r="H253" i="18"/>
  <c r="Q253" i="18" s="1"/>
  <c r="H252" i="18"/>
  <c r="M252" i="18" s="1"/>
  <c r="H251" i="18"/>
  <c r="N251" i="18" s="1"/>
  <c r="P251" i="18" s="1"/>
  <c r="H250" i="18"/>
  <c r="H249" i="18"/>
  <c r="N249" i="18" s="1"/>
  <c r="P249" i="18" s="1"/>
  <c r="H248" i="18"/>
  <c r="N248" i="18" s="1"/>
  <c r="P248" i="18" s="1"/>
  <c r="H247" i="18"/>
  <c r="N247" i="18" s="1"/>
  <c r="P247" i="18" s="1"/>
  <c r="M246" i="18"/>
  <c r="H246" i="18"/>
  <c r="M248" i="18" s="1"/>
  <c r="H245" i="18"/>
  <c r="H237" i="18"/>
  <c r="U233" i="18"/>
  <c r="T233" i="18"/>
  <c r="S233" i="18"/>
  <c r="R233" i="18"/>
  <c r="O233" i="18"/>
  <c r="J233" i="18"/>
  <c r="H232" i="18"/>
  <c r="H231" i="18"/>
  <c r="H229" i="18"/>
  <c r="U225" i="18"/>
  <c r="T225" i="18"/>
  <c r="S225" i="18"/>
  <c r="R225" i="18"/>
  <c r="O225" i="18"/>
  <c r="J225" i="18"/>
  <c r="I225" i="18"/>
  <c r="H224" i="18"/>
  <c r="H225" i="18" s="1"/>
  <c r="U219" i="18"/>
  <c r="T219" i="18"/>
  <c r="S219" i="18"/>
  <c r="R219" i="18"/>
  <c r="J219" i="18"/>
  <c r="H217" i="18"/>
  <c r="N217" i="18" s="1"/>
  <c r="P217" i="18" s="1"/>
  <c r="V216" i="18"/>
  <c r="Z216" i="18" s="1"/>
  <c r="H214" i="18"/>
  <c r="H213" i="18"/>
  <c r="H212" i="18"/>
  <c r="U207" i="18"/>
  <c r="T207" i="18"/>
  <c r="S207" i="18"/>
  <c r="R207" i="18"/>
  <c r="J207" i="18"/>
  <c r="H206" i="18"/>
  <c r="K193" i="18" s="1"/>
  <c r="H205" i="18"/>
  <c r="H204" i="18"/>
  <c r="M205" i="18" s="1"/>
  <c r="H203" i="18"/>
  <c r="H202" i="18"/>
  <c r="Z201" i="18"/>
  <c r="Y201" i="18"/>
  <c r="M200" i="18"/>
  <c r="H200" i="18"/>
  <c r="N200" i="18" s="1"/>
  <c r="P200" i="18" s="1"/>
  <c r="H199" i="18"/>
  <c r="N199" i="18" s="1"/>
  <c r="P199" i="18" s="1"/>
  <c r="H198" i="18"/>
  <c r="N198" i="18" s="1"/>
  <c r="P198" i="18" s="1"/>
  <c r="H197" i="18"/>
  <c r="N197" i="18" s="1"/>
  <c r="P197" i="18" s="1"/>
  <c r="H196" i="18"/>
  <c r="H195" i="18"/>
  <c r="N195" i="18" s="1"/>
  <c r="P195" i="18" s="1"/>
  <c r="H194" i="18"/>
  <c r="H193" i="18"/>
  <c r="H192" i="18"/>
  <c r="H191" i="18"/>
  <c r="U186" i="18"/>
  <c r="T186" i="18"/>
  <c r="S186" i="18"/>
  <c r="R186" i="18"/>
  <c r="O186" i="18"/>
  <c r="H185" i="18"/>
  <c r="N185" i="18" s="1"/>
  <c r="P185" i="18" s="1"/>
  <c r="M183" i="18"/>
  <c r="K183" i="18"/>
  <c r="H183" i="18"/>
  <c r="N183" i="18" s="1"/>
  <c r="P183" i="18" s="1"/>
  <c r="M182" i="18"/>
  <c r="K182" i="18"/>
  <c r="H182" i="18"/>
  <c r="N182" i="18" s="1"/>
  <c r="P182" i="18" s="1"/>
  <c r="H181" i="18"/>
  <c r="N181" i="18" s="1"/>
  <c r="P181" i="18" s="1"/>
  <c r="H180" i="18"/>
  <c r="N180" i="18" s="1"/>
  <c r="P180" i="18" s="1"/>
  <c r="H179" i="18"/>
  <c r="J186" i="18"/>
  <c r="H178" i="18"/>
  <c r="H177" i="18"/>
  <c r="M164" i="18" s="1"/>
  <c r="U173" i="18"/>
  <c r="T173" i="18"/>
  <c r="S173" i="18"/>
  <c r="R173" i="18"/>
  <c r="O173" i="18"/>
  <c r="J173" i="18"/>
  <c r="H172" i="18"/>
  <c r="Q172" i="18" s="1"/>
  <c r="H171" i="18"/>
  <c r="Q171" i="18" s="1"/>
  <c r="H170" i="18"/>
  <c r="Q170" i="18" s="1"/>
  <c r="H169" i="18"/>
  <c r="Q169" i="18" s="1"/>
  <c r="H168" i="18"/>
  <c r="Q168" i="18" s="1"/>
  <c r="H167" i="18"/>
  <c r="N167" i="18" s="1"/>
  <c r="P167" i="18" s="1"/>
  <c r="H166" i="18"/>
  <c r="H91" i="18"/>
  <c r="N91" i="18" s="1"/>
  <c r="P91" i="18" s="1"/>
  <c r="H164" i="18"/>
  <c r="U160" i="18"/>
  <c r="T160" i="18"/>
  <c r="S160" i="18"/>
  <c r="R160" i="18"/>
  <c r="J160" i="18"/>
  <c r="Z159" i="18"/>
  <c r="Y159" i="18"/>
  <c r="H158" i="18"/>
  <c r="Q160" i="18" s="1"/>
  <c r="H157" i="18"/>
  <c r="U153" i="18"/>
  <c r="T153" i="18"/>
  <c r="S153" i="18"/>
  <c r="R153" i="18"/>
  <c r="O153" i="18"/>
  <c r="J153" i="18"/>
  <c r="H152" i="18"/>
  <c r="H151" i="18"/>
  <c r="U146" i="18"/>
  <c r="T146" i="18"/>
  <c r="S146" i="18"/>
  <c r="R146" i="18"/>
  <c r="O146" i="18"/>
  <c r="J146" i="18"/>
  <c r="Z145" i="18"/>
  <c r="Y145" i="18"/>
  <c r="Z144" i="18"/>
  <c r="Y144" i="18"/>
  <c r="Z143" i="18"/>
  <c r="Y143" i="18"/>
  <c r="H142" i="18"/>
  <c r="H141" i="18"/>
  <c r="N141" i="18" s="1"/>
  <c r="H140" i="18"/>
  <c r="N140" i="18" s="1"/>
  <c r="P140" i="18" s="1"/>
  <c r="Z139" i="18"/>
  <c r="H138" i="18"/>
  <c r="H137" i="18"/>
  <c r="Q141" i="18" s="1"/>
  <c r="H136" i="18"/>
  <c r="H135" i="18"/>
  <c r="U129" i="18"/>
  <c r="T129" i="18"/>
  <c r="S129" i="18"/>
  <c r="R129" i="18"/>
  <c r="Q129" i="18"/>
  <c r="J129" i="18"/>
  <c r="H128" i="18"/>
  <c r="L128" i="18" s="1"/>
  <c r="H127" i="18"/>
  <c r="L127" i="18" s="1"/>
  <c r="H126" i="18"/>
  <c r="L126" i="18" s="1"/>
  <c r="H125" i="18"/>
  <c r="L125" i="18" s="1"/>
  <c r="H124" i="18"/>
  <c r="L124" i="18" s="1"/>
  <c r="M123" i="18"/>
  <c r="M129" i="18" s="1"/>
  <c r="H123" i="18"/>
  <c r="H122" i="18"/>
  <c r="U116" i="18"/>
  <c r="T116" i="18"/>
  <c r="S116" i="18"/>
  <c r="R116" i="18"/>
  <c r="O116" i="18"/>
  <c r="J116" i="18"/>
  <c r="H115" i="18"/>
  <c r="N115" i="18" s="1"/>
  <c r="P115" i="18" s="1"/>
  <c r="K114" i="18"/>
  <c r="H114" i="18"/>
  <c r="H113" i="18"/>
  <c r="H112" i="18"/>
  <c r="H111" i="18"/>
  <c r="H110" i="18"/>
  <c r="U106" i="18"/>
  <c r="T106" i="18"/>
  <c r="S106" i="18"/>
  <c r="R106" i="18"/>
  <c r="J106" i="18"/>
  <c r="Q106" i="18"/>
  <c r="H105" i="18"/>
  <c r="O104" i="18"/>
  <c r="O106" i="18" s="1"/>
  <c r="K104" i="18"/>
  <c r="H104" i="18"/>
  <c r="H103" i="18"/>
  <c r="U99" i="18"/>
  <c r="T99" i="18"/>
  <c r="S99" i="18"/>
  <c r="R99" i="18"/>
  <c r="Q99" i="18"/>
  <c r="O99" i="18"/>
  <c r="J99" i="18"/>
  <c r="H98" i="18"/>
  <c r="H99" i="18" s="1"/>
  <c r="Z97" i="18"/>
  <c r="Y97" i="18"/>
  <c r="U92" i="18"/>
  <c r="T92" i="18"/>
  <c r="S92" i="18"/>
  <c r="R92" i="18"/>
  <c r="O92" i="18"/>
  <c r="J92" i="18"/>
  <c r="H29" i="18"/>
  <c r="L29" i="18" s="1"/>
  <c r="H90" i="18"/>
  <c r="U86" i="18"/>
  <c r="T86" i="18"/>
  <c r="S86" i="18"/>
  <c r="R86" i="18"/>
  <c r="Q86" i="18"/>
  <c r="O86" i="18"/>
  <c r="M86" i="18"/>
  <c r="K86" i="18"/>
  <c r="J86" i="18"/>
  <c r="I86" i="18"/>
  <c r="H85" i="18"/>
  <c r="U73" i="18"/>
  <c r="T73" i="18"/>
  <c r="S73" i="18"/>
  <c r="R73" i="18"/>
  <c r="J73" i="18"/>
  <c r="H72" i="18"/>
  <c r="H71" i="18"/>
  <c r="N71" i="18" s="1"/>
  <c r="P71" i="18" s="1"/>
  <c r="H70" i="18"/>
  <c r="Q70" i="18" s="1"/>
  <c r="Q79" i="18"/>
  <c r="Q81" i="18" s="1"/>
  <c r="H79" i="18"/>
  <c r="N79" i="18" s="1"/>
  <c r="O69" i="18"/>
  <c r="K69" i="18"/>
  <c r="H69" i="18"/>
  <c r="H67" i="18"/>
  <c r="H66" i="18"/>
  <c r="O64" i="18"/>
  <c r="K64" i="18"/>
  <c r="H64" i="18"/>
  <c r="Q63" i="18"/>
  <c r="M63" i="18"/>
  <c r="H63" i="18"/>
  <c r="H62" i="18"/>
  <c r="L62" i="18" s="1"/>
  <c r="H61" i="18"/>
  <c r="U57" i="18"/>
  <c r="T57" i="18"/>
  <c r="S57" i="18"/>
  <c r="R57" i="18"/>
  <c r="O57" i="18"/>
  <c r="J57" i="18"/>
  <c r="I57" i="18"/>
  <c r="Q55" i="18"/>
  <c r="K55" i="18"/>
  <c r="H55" i="18"/>
  <c r="N55" i="18" s="1"/>
  <c r="P55" i="18" s="1"/>
  <c r="H54" i="18"/>
  <c r="U50" i="18"/>
  <c r="T50" i="18"/>
  <c r="S50" i="18"/>
  <c r="R50" i="18"/>
  <c r="J50" i="18"/>
  <c r="I50" i="18"/>
  <c r="H49" i="18"/>
  <c r="L49" i="18" s="1"/>
  <c r="H80" i="18"/>
  <c r="L80" i="18" s="1"/>
  <c r="O48" i="18"/>
  <c r="O50" i="18" s="1"/>
  <c r="M48" i="18"/>
  <c r="M50" i="18" s="1"/>
  <c r="K48" i="18"/>
  <c r="K50" i="18" s="1"/>
  <c r="H48" i="18"/>
  <c r="Q36" i="18" s="1"/>
  <c r="H47" i="18"/>
  <c r="L47" i="18" s="1"/>
  <c r="H46" i="18"/>
  <c r="U41" i="18"/>
  <c r="T41" i="18"/>
  <c r="S41" i="18"/>
  <c r="R41" i="18"/>
  <c r="O41" i="18"/>
  <c r="J41" i="18"/>
  <c r="Z40" i="18"/>
  <c r="Y40" i="18"/>
  <c r="H39" i="18"/>
  <c r="N39" i="18" s="1"/>
  <c r="P39" i="18" s="1"/>
  <c r="M38" i="18"/>
  <c r="H38" i="18"/>
  <c r="N38" i="18" s="1"/>
  <c r="P38" i="18" s="1"/>
  <c r="K37" i="18"/>
  <c r="H37" i="18"/>
  <c r="K36" i="18"/>
  <c r="H36" i="18"/>
  <c r="N36" i="18" s="1"/>
  <c r="P36" i="18" s="1"/>
  <c r="H35" i="18"/>
  <c r="M230" i="18"/>
  <c r="H230" i="18"/>
  <c r="H28" i="18"/>
  <c r="M152" i="18" s="1"/>
  <c r="H27" i="18"/>
  <c r="N27" i="18" s="1"/>
  <c r="H26" i="18"/>
  <c r="Q27" i="18" s="1"/>
  <c r="H24" i="18"/>
  <c r="U19" i="18"/>
  <c r="T19" i="18"/>
  <c r="S19" i="18"/>
  <c r="R19" i="18"/>
  <c r="J19" i="18"/>
  <c r="H18" i="18"/>
  <c r="Q18" i="18" s="1"/>
  <c r="O17" i="18"/>
  <c r="O19" i="18" s="1"/>
  <c r="M17" i="18"/>
  <c r="K17" i="18"/>
  <c r="H17" i="18"/>
  <c r="H16" i="18"/>
  <c r="Q16" i="18" s="1"/>
  <c r="H15" i="18"/>
  <c r="N15" i="18" s="1"/>
  <c r="P15" i="18" s="1"/>
  <c r="H14" i="18"/>
  <c r="H13" i="18"/>
  <c r="N13" i="18" s="1"/>
  <c r="P13" i="18" s="1"/>
  <c r="H12" i="18"/>
  <c r="Q12" i="18" s="1"/>
  <c r="H11" i="18"/>
  <c r="N11" i="18" s="1"/>
  <c r="P11" i="18" s="1"/>
  <c r="H10" i="18"/>
  <c r="Q10" i="18" s="1"/>
  <c r="H9" i="18"/>
  <c r="Q9" i="18" s="1"/>
  <c r="H8" i="18"/>
  <c r="S405" i="18" l="1"/>
  <c r="V378" i="18"/>
  <c r="Y378" i="18"/>
  <c r="Q249" i="18"/>
  <c r="H160" i="18"/>
  <c r="K63" i="18"/>
  <c r="O63" i="18"/>
  <c r="M64" i="18"/>
  <c r="M69" i="18"/>
  <c r="M104" i="18"/>
  <c r="K123" i="18"/>
  <c r="K129" i="18" s="1"/>
  <c r="O123" i="18"/>
  <c r="O129" i="18" s="1"/>
  <c r="M157" i="18"/>
  <c r="K157" i="18"/>
  <c r="O157" i="18"/>
  <c r="O160" i="18" s="1"/>
  <c r="O192" i="18"/>
  <c r="M114" i="18"/>
  <c r="H129" i="18"/>
  <c r="K200" i="18"/>
  <c r="I405" i="18"/>
  <c r="U405" i="18"/>
  <c r="H271" i="18"/>
  <c r="Q206" i="18"/>
  <c r="M238" i="18"/>
  <c r="K238" i="18"/>
  <c r="L238" i="18" s="1"/>
  <c r="O238" i="18"/>
  <c r="M215" i="18"/>
  <c r="O215" i="18"/>
  <c r="K215" i="18"/>
  <c r="L215" i="18" s="1"/>
  <c r="N215" i="18" s="1"/>
  <c r="K239" i="18"/>
  <c r="L239" i="18" s="1"/>
  <c r="M239" i="18"/>
  <c r="R405" i="18"/>
  <c r="J405" i="18"/>
  <c r="H297" i="18"/>
  <c r="H30" i="18"/>
  <c r="Q217" i="18"/>
  <c r="Q184" i="18"/>
  <c r="Y376" i="18"/>
  <c r="H402" i="18"/>
  <c r="Q69" i="18"/>
  <c r="H371" i="18"/>
  <c r="Q359" i="18"/>
  <c r="H364" i="18"/>
  <c r="Q343" i="18"/>
  <c r="H348" i="18"/>
  <c r="M336" i="18"/>
  <c r="M339" i="18" s="1"/>
  <c r="H339" i="18"/>
  <c r="H331" i="18"/>
  <c r="K256" i="18"/>
  <c r="L256" i="18" s="1"/>
  <c r="H320" i="18"/>
  <c r="M325" i="18"/>
  <c r="M331" i="18" s="1"/>
  <c r="H285" i="18"/>
  <c r="N230" i="18"/>
  <c r="P230" i="18" s="1"/>
  <c r="H233" i="18"/>
  <c r="M237" i="18"/>
  <c r="H219" i="18"/>
  <c r="Q191" i="18"/>
  <c r="H207" i="18"/>
  <c r="Q177" i="18"/>
  <c r="H186" i="18"/>
  <c r="Q46" i="18"/>
  <c r="H173" i="18"/>
  <c r="N151" i="18"/>
  <c r="P151" i="18" s="1"/>
  <c r="Y151" i="18" s="1"/>
  <c r="H153" i="18"/>
  <c r="H146" i="18"/>
  <c r="H116" i="18"/>
  <c r="L103" i="18"/>
  <c r="H106" i="18"/>
  <c r="M232" i="18"/>
  <c r="H92" i="18"/>
  <c r="L85" i="18"/>
  <c r="L86" i="18" s="1"/>
  <c r="H86" i="18"/>
  <c r="Y78" i="18"/>
  <c r="H81" i="18"/>
  <c r="L61" i="18"/>
  <c r="H73" i="18"/>
  <c r="N54" i="18"/>
  <c r="H57" i="18"/>
  <c r="L46" i="18"/>
  <c r="H50" i="18"/>
  <c r="L35" i="18"/>
  <c r="H41" i="18"/>
  <c r="H19" i="18"/>
  <c r="K249" i="18"/>
  <c r="K192" i="18"/>
  <c r="O193" i="18"/>
  <c r="N150" i="18"/>
  <c r="K68" i="18"/>
  <c r="L68" i="18" s="1"/>
  <c r="M68" i="18"/>
  <c r="Q68" i="18"/>
  <c r="V68" i="18" s="1"/>
  <c r="W68" i="18" s="1"/>
  <c r="M37" i="18"/>
  <c r="K38" i="18"/>
  <c r="L38" i="18" s="1"/>
  <c r="M345" i="18"/>
  <c r="N354" i="18"/>
  <c r="Y354" i="18"/>
  <c r="K361" i="18"/>
  <c r="M352" i="18"/>
  <c r="V352" i="18"/>
  <c r="K352" i="18"/>
  <c r="L352" i="18" s="1"/>
  <c r="Q17" i="18"/>
  <c r="K26" i="18"/>
  <c r="L26" i="18" s="1"/>
  <c r="K230" i="18"/>
  <c r="Q230" i="18"/>
  <c r="M36" i="18"/>
  <c r="Q48" i="18"/>
  <c r="M55" i="18"/>
  <c r="Q64" i="18"/>
  <c r="K246" i="18"/>
  <c r="L246" i="18" s="1"/>
  <c r="M256" i="18"/>
  <c r="M71" i="18"/>
  <c r="Q65" i="18"/>
  <c r="K65" i="18"/>
  <c r="L65" i="18" s="1"/>
  <c r="M65" i="18"/>
  <c r="P79" i="18"/>
  <c r="V79" i="18" s="1"/>
  <c r="Y77" i="18"/>
  <c r="K204" i="18"/>
  <c r="K212" i="18"/>
  <c r="L212" i="18" s="1"/>
  <c r="M347" i="18"/>
  <c r="K362" i="18"/>
  <c r="V77" i="18"/>
  <c r="K194" i="18"/>
  <c r="L194" i="18" s="1"/>
  <c r="V389" i="18"/>
  <c r="Z389" i="18" s="1"/>
  <c r="K10" i="18"/>
  <c r="K257" i="18"/>
  <c r="V259" i="18"/>
  <c r="Z259" i="18" s="1"/>
  <c r="K270" i="18"/>
  <c r="L270" i="18" s="1"/>
  <c r="K283" i="18"/>
  <c r="L283" i="18" s="1"/>
  <c r="L347" i="18"/>
  <c r="L361" i="18"/>
  <c r="M362" i="18"/>
  <c r="V376" i="18"/>
  <c r="Z376" i="18" s="1"/>
  <c r="V396" i="18"/>
  <c r="Z396" i="18" s="1"/>
  <c r="K18" i="18"/>
  <c r="L18" i="18" s="1"/>
  <c r="Q26" i="18"/>
  <c r="K27" i="18"/>
  <c r="L27" i="18" s="1"/>
  <c r="N137" i="18"/>
  <c r="P137" i="18" s="1"/>
  <c r="Q138" i="18"/>
  <c r="Q194" i="18"/>
  <c r="Q212" i="18"/>
  <c r="Y240" i="18"/>
  <c r="V381" i="18"/>
  <c r="Z381" i="18" s="1"/>
  <c r="W216" i="18"/>
  <c r="Y249" i="18"/>
  <c r="N310" i="18"/>
  <c r="P310" i="18" s="1"/>
  <c r="N311" i="18"/>
  <c r="P311" i="18" s="1"/>
  <c r="M343" i="18"/>
  <c r="N347" i="18"/>
  <c r="P347" i="18" s="1"/>
  <c r="M354" i="18"/>
  <c r="N359" i="18"/>
  <c r="K16" i="18"/>
  <c r="M18" i="18"/>
  <c r="N26" i="18"/>
  <c r="P26" i="18" s="1"/>
  <c r="Q57" i="18"/>
  <c r="N105" i="18"/>
  <c r="P105" i="18" s="1"/>
  <c r="V105" i="18" s="1"/>
  <c r="Q137" i="18"/>
  <c r="N138" i="18"/>
  <c r="P138" i="18" s="1"/>
  <c r="Q140" i="18"/>
  <c r="V140" i="18" s="1"/>
  <c r="Q142" i="18"/>
  <c r="Y142" i="18" s="1"/>
  <c r="L157" i="18"/>
  <c r="K164" i="18"/>
  <c r="L164" i="18" s="1"/>
  <c r="Q164" i="18"/>
  <c r="K177" i="18"/>
  <c r="L177" i="18" s="1"/>
  <c r="L183" i="18"/>
  <c r="K185" i="18"/>
  <c r="L185" i="18" s="1"/>
  <c r="M192" i="18"/>
  <c r="L193" i="18"/>
  <c r="M193" i="18"/>
  <c r="N194" i="18"/>
  <c r="P194" i="18" s="1"/>
  <c r="N212" i="18"/>
  <c r="P212" i="18" s="1"/>
  <c r="L249" i="18"/>
  <c r="N270" i="18"/>
  <c r="P270" i="18" s="1"/>
  <c r="N276" i="18"/>
  <c r="P276" i="18" s="1"/>
  <c r="P277" i="18" s="1"/>
  <c r="N283" i="18"/>
  <c r="P283" i="18" s="1"/>
  <c r="P285" i="18" s="1"/>
  <c r="M284" i="18"/>
  <c r="K292" i="18"/>
  <c r="K310" i="18"/>
  <c r="L310" i="18" s="1"/>
  <c r="Q310" i="18"/>
  <c r="K311" i="18"/>
  <c r="L311" i="18" s="1"/>
  <c r="Q311" i="18"/>
  <c r="L318" i="18"/>
  <c r="N327" i="18"/>
  <c r="P327" i="18" s="1"/>
  <c r="V327" i="18" s="1"/>
  <c r="Z327" i="18" s="1"/>
  <c r="N330" i="18"/>
  <c r="P330" i="18" s="1"/>
  <c r="Y330" i="18" s="1"/>
  <c r="K343" i="18"/>
  <c r="K348" i="18" s="1"/>
  <c r="Q347" i="18"/>
  <c r="Q348" i="18" s="1"/>
  <c r="V354" i="18"/>
  <c r="Z354" i="18" s="1"/>
  <c r="M361" i="18"/>
  <c r="V380" i="18"/>
  <c r="Z380" i="18" s="1"/>
  <c r="V393" i="18"/>
  <c r="Z393" i="18" s="1"/>
  <c r="V398" i="18"/>
  <c r="Z398" i="18" s="1"/>
  <c r="Y39" i="18"/>
  <c r="V39" i="18"/>
  <c r="Y195" i="18"/>
  <c r="V195" i="18"/>
  <c r="Z239" i="18"/>
  <c r="M54" i="18"/>
  <c r="K54" i="18"/>
  <c r="L54" i="18" s="1"/>
  <c r="M8" i="18"/>
  <c r="K8" i="18"/>
  <c r="N8" i="18"/>
  <c r="P8" i="18" s="1"/>
  <c r="Q8" i="18"/>
  <c r="K12" i="18"/>
  <c r="L12" i="18" s="1"/>
  <c r="Q14" i="18"/>
  <c r="K14" i="18"/>
  <c r="L17" i="18"/>
  <c r="N17" i="18" s="1"/>
  <c r="P17" i="18" s="1"/>
  <c r="V17" i="18" s="1"/>
  <c r="V36" i="18"/>
  <c r="W36" i="18" s="1"/>
  <c r="Y141" i="18"/>
  <c r="V141" i="18"/>
  <c r="L37" i="18"/>
  <c r="N37" i="18"/>
  <c r="P37" i="18" s="1"/>
  <c r="Y37" i="18" s="1"/>
  <c r="V38" i="18"/>
  <c r="Z38" i="18" s="1"/>
  <c r="N46" i="18"/>
  <c r="P46" i="18" s="1"/>
  <c r="N80" i="18"/>
  <c r="P80" i="18" s="1"/>
  <c r="V80" i="18" s="1"/>
  <c r="N49" i="18"/>
  <c r="P49" i="18" s="1"/>
  <c r="V49" i="18" s="1"/>
  <c r="W49" i="18" s="1"/>
  <c r="V55" i="18"/>
  <c r="Z55" i="18" s="1"/>
  <c r="M79" i="18"/>
  <c r="M81" i="18" s="1"/>
  <c r="N85" i="18"/>
  <c r="N90" i="18"/>
  <c r="Q90" i="18"/>
  <c r="N29" i="18"/>
  <c r="P29" i="18" s="1"/>
  <c r="Q29" i="18"/>
  <c r="Q92" i="18" s="1"/>
  <c r="M98" i="18"/>
  <c r="M99" i="18" s="1"/>
  <c r="N103" i="18"/>
  <c r="P103" i="18" s="1"/>
  <c r="Q103" i="18"/>
  <c r="K105" i="18"/>
  <c r="L105" i="18" s="1"/>
  <c r="K110" i="18"/>
  <c r="L110" i="18" s="1"/>
  <c r="Q110" i="18"/>
  <c r="Q116" i="18" s="1"/>
  <c r="M135" i="18"/>
  <c r="K150" i="18"/>
  <c r="L150" i="18" s="1"/>
  <c r="Q150" i="18"/>
  <c r="Y150" i="18" s="1"/>
  <c r="M158" i="18"/>
  <c r="M160" i="18" s="1"/>
  <c r="M166" i="18"/>
  <c r="M167" i="18"/>
  <c r="M171" i="18"/>
  <c r="M191" i="18"/>
  <c r="L200" i="18"/>
  <c r="Y200" i="18"/>
  <c r="K202" i="18"/>
  <c r="L202" i="18" s="1"/>
  <c r="M214" i="18"/>
  <c r="Y218" i="18"/>
  <c r="M224" i="18"/>
  <c r="M225" i="18" s="1"/>
  <c r="K229" i="18"/>
  <c r="K233" i="18" s="1"/>
  <c r="M229" i="18"/>
  <c r="M233" i="18" s="1"/>
  <c r="M231" i="18"/>
  <c r="K232" i="18"/>
  <c r="L232" i="18" s="1"/>
  <c r="Y239" i="18"/>
  <c r="N18" i="18"/>
  <c r="P18" i="18" s="1"/>
  <c r="Y18" i="18" s="1"/>
  <c r="M26" i="18"/>
  <c r="M27" i="18"/>
  <c r="N35" i="18"/>
  <c r="N47" i="18"/>
  <c r="P47" i="18" s="1"/>
  <c r="Y47" i="18" s="1"/>
  <c r="P54" i="18"/>
  <c r="L55" i="18"/>
  <c r="Y55" i="18"/>
  <c r="V91" i="18"/>
  <c r="W91" i="18" s="1"/>
  <c r="L90" i="18"/>
  <c r="K98" i="18"/>
  <c r="K99" i="18" s="1"/>
  <c r="N98" i="18"/>
  <c r="M105" i="18"/>
  <c r="M106" i="18" s="1"/>
  <c r="M110" i="18"/>
  <c r="K135" i="18"/>
  <c r="L135" i="18" s="1"/>
  <c r="N135" i="18"/>
  <c r="Q135" i="18"/>
  <c r="N136" i="18"/>
  <c r="P136" i="18" s="1"/>
  <c r="Y136" i="18" s="1"/>
  <c r="N142" i="18"/>
  <c r="M150" i="18"/>
  <c r="N152" i="18"/>
  <c r="P152" i="18" s="1"/>
  <c r="V152" i="18" s="1"/>
  <c r="K158" i="18"/>
  <c r="L158" i="18" s="1"/>
  <c r="N158" i="18"/>
  <c r="P158" i="18" s="1"/>
  <c r="K166" i="18"/>
  <c r="L166" i="18" s="1"/>
  <c r="Q166" i="18"/>
  <c r="K167" i="18"/>
  <c r="L167" i="18" s="1"/>
  <c r="K171" i="18"/>
  <c r="L182" i="18"/>
  <c r="K191" i="18"/>
  <c r="L191" i="18" s="1"/>
  <c r="N191" i="18"/>
  <c r="P191" i="18" s="1"/>
  <c r="L192" i="18"/>
  <c r="N192" i="18" s="1"/>
  <c r="P192" i="18" s="1"/>
  <c r="M194" i="18"/>
  <c r="M202" i="18"/>
  <c r="M291" i="18"/>
  <c r="Q237" i="18"/>
  <c r="K237" i="18"/>
  <c r="L237" i="18" s="1"/>
  <c r="Q291" i="18"/>
  <c r="K291" i="18"/>
  <c r="L291" i="18" s="1"/>
  <c r="M212" i="18"/>
  <c r="K214" i="18"/>
  <c r="L214" i="18" s="1"/>
  <c r="N214" i="18"/>
  <c r="P214" i="18" s="1"/>
  <c r="Y214" i="18" s="1"/>
  <c r="K224" i="18"/>
  <c r="K225" i="18" s="1"/>
  <c r="N224" i="18"/>
  <c r="Q224" i="18"/>
  <c r="Q225" i="18" s="1"/>
  <c r="N229" i="18"/>
  <c r="Q229" i="18"/>
  <c r="Q233" i="18" s="1"/>
  <c r="K231" i="18"/>
  <c r="L231" i="18" s="1"/>
  <c r="N231" i="18"/>
  <c r="P231" i="18" s="1"/>
  <c r="Y231" i="18" s="1"/>
  <c r="N232" i="18"/>
  <c r="P232" i="18" s="1"/>
  <c r="Y232" i="18" s="1"/>
  <c r="Q251" i="18"/>
  <c r="V251" i="18" s="1"/>
  <c r="Q245" i="18"/>
  <c r="K248" i="18"/>
  <c r="L248" i="18" s="1"/>
  <c r="M247" i="18"/>
  <c r="N246" i="18"/>
  <c r="P246" i="18" s="1"/>
  <c r="V246" i="18" s="1"/>
  <c r="K247" i="18"/>
  <c r="L247" i="18" s="1"/>
  <c r="Y319" i="18"/>
  <c r="V319" i="18"/>
  <c r="Z337" i="18"/>
  <c r="W337" i="18"/>
  <c r="M268" i="18"/>
  <c r="M269" i="18"/>
  <c r="N285" i="18"/>
  <c r="M304" i="18"/>
  <c r="N329" i="18"/>
  <c r="P329" i="18" s="1"/>
  <c r="V329" i="18" s="1"/>
  <c r="Y337" i="18"/>
  <c r="N344" i="18"/>
  <c r="P344" i="18" s="1"/>
  <c r="Y344" i="18" s="1"/>
  <c r="M259" i="18"/>
  <c r="K268" i="18"/>
  <c r="L268" i="18" s="1"/>
  <c r="K269" i="18"/>
  <c r="L269" i="18" s="1"/>
  <c r="T277" i="18"/>
  <c r="T405" i="18" s="1"/>
  <c r="K359" i="18"/>
  <c r="L359" i="18" s="1"/>
  <c r="M359" i="18"/>
  <c r="M283" i="18"/>
  <c r="M285" i="18" s="1"/>
  <c r="K284" i="18"/>
  <c r="L284" i="18" s="1"/>
  <c r="L285" i="18" s="1"/>
  <c r="K304" i="18"/>
  <c r="L304" i="18" s="1"/>
  <c r="N304" i="18"/>
  <c r="P304" i="18" s="1"/>
  <c r="V304" i="18" s="1"/>
  <c r="K325" i="18"/>
  <c r="K331" i="18" s="1"/>
  <c r="N325" i="18"/>
  <c r="Q325" i="18"/>
  <c r="Q331" i="18" s="1"/>
  <c r="N328" i="18"/>
  <c r="P328" i="18" s="1"/>
  <c r="V328" i="18" s="1"/>
  <c r="Q336" i="18"/>
  <c r="Q339" i="18" s="1"/>
  <c r="N336" i="18"/>
  <c r="K336" i="18"/>
  <c r="K339" i="18" s="1"/>
  <c r="N338" i="18"/>
  <c r="P338" i="18" s="1"/>
  <c r="V338" i="18" s="1"/>
  <c r="N346" i="18"/>
  <c r="P346" i="18" s="1"/>
  <c r="Y49" i="18" s="1"/>
  <c r="Y360" i="18"/>
  <c r="V360" i="18"/>
  <c r="N343" i="18"/>
  <c r="L345" i="18"/>
  <c r="Y345" i="18"/>
  <c r="V347" i="18"/>
  <c r="Z347" i="18" s="1"/>
  <c r="K354" i="18"/>
  <c r="L354" i="18" s="1"/>
  <c r="P359" i="18"/>
  <c r="V359" i="18" s="1"/>
  <c r="N361" i="18"/>
  <c r="P361" i="18" s="1"/>
  <c r="Q361" i="18"/>
  <c r="L362" i="18"/>
  <c r="Q362" i="18"/>
  <c r="Y362" i="18" s="1"/>
  <c r="K363" i="18"/>
  <c r="L363" i="18" s="1"/>
  <c r="N363" i="18"/>
  <c r="P363" i="18" s="1"/>
  <c r="Y363" i="18" s="1"/>
  <c r="Q369" i="18"/>
  <c r="Q370" i="18"/>
  <c r="V78" i="18"/>
  <c r="V387" i="18"/>
  <c r="Z387" i="18" s="1"/>
  <c r="V379" i="18"/>
  <c r="V382" i="18"/>
  <c r="Z382" i="18" s="1"/>
  <c r="V391" i="18"/>
  <c r="Z391" i="18" s="1"/>
  <c r="V395" i="18"/>
  <c r="Z395" i="18" s="1"/>
  <c r="V397" i="18"/>
  <c r="Z397" i="18" s="1"/>
  <c r="V400" i="18"/>
  <c r="Z400" i="18" s="1"/>
  <c r="M24" i="18"/>
  <c r="Q24" i="18"/>
  <c r="V27" i="18"/>
  <c r="Z27" i="18" s="1"/>
  <c r="Y27" i="18"/>
  <c r="M10" i="18"/>
  <c r="M12" i="18"/>
  <c r="M14" i="18"/>
  <c r="M16" i="18"/>
  <c r="V18" i="18"/>
  <c r="Z18" i="18" s="1"/>
  <c r="K24" i="18"/>
  <c r="O24" i="18"/>
  <c r="O30" i="18" s="1"/>
  <c r="Y25" i="18"/>
  <c r="Y38" i="18"/>
  <c r="K71" i="18"/>
  <c r="L71" i="18" s="1"/>
  <c r="Y158" i="18"/>
  <c r="K169" i="18"/>
  <c r="L169" i="18" s="1"/>
  <c r="M177" i="18"/>
  <c r="K179" i="18"/>
  <c r="L179" i="18" s="1"/>
  <c r="Q179" i="18"/>
  <c r="K180" i="18"/>
  <c r="L180" i="18" s="1"/>
  <c r="K181" i="18"/>
  <c r="M185" i="18"/>
  <c r="Y194" i="18"/>
  <c r="M204" i="18"/>
  <c r="Q205" i="18"/>
  <c r="K206" i="18"/>
  <c r="O206" i="18"/>
  <c r="O207" i="18" s="1"/>
  <c r="V249" i="18"/>
  <c r="Z249" i="18" s="1"/>
  <c r="K251" i="18"/>
  <c r="L251" i="18" s="1"/>
  <c r="K255" i="18"/>
  <c r="M257" i="18"/>
  <c r="Q258" i="18"/>
  <c r="K259" i="18"/>
  <c r="L259" i="18" s="1"/>
  <c r="K261" i="18"/>
  <c r="K263" i="18"/>
  <c r="K267" i="18"/>
  <c r="M292" i="18"/>
  <c r="K293" i="18"/>
  <c r="L293" i="18" s="1"/>
  <c r="M295" i="18"/>
  <c r="Q296" i="18"/>
  <c r="K305" i="18"/>
  <c r="M307" i="18"/>
  <c r="K312" i="18"/>
  <c r="L312" i="18" s="1"/>
  <c r="K314" i="18"/>
  <c r="K316" i="18"/>
  <c r="L316" i="18" s="1"/>
  <c r="W326" i="18"/>
  <c r="M355" i="18"/>
  <c r="Y402" i="18"/>
  <c r="Q41" i="18"/>
  <c r="Y36" i="18"/>
  <c r="O73" i="18"/>
  <c r="K79" i="18"/>
  <c r="L104" i="18"/>
  <c r="L106" i="18" s="1"/>
  <c r="L123" i="18"/>
  <c r="N123" i="18" s="1"/>
  <c r="P123" i="18" s="1"/>
  <c r="Y123" i="18" s="1"/>
  <c r="V158" i="18"/>
  <c r="Z158" i="18" s="1"/>
  <c r="M169" i="18"/>
  <c r="M179" i="18"/>
  <c r="M180" i="18"/>
  <c r="M181" i="18"/>
  <c r="Q183" i="18"/>
  <c r="Y183" i="18" s="1"/>
  <c r="M206" i="18"/>
  <c r="M251" i="18"/>
  <c r="M255" i="18"/>
  <c r="M261" i="18"/>
  <c r="M263" i="18"/>
  <c r="M267" i="18"/>
  <c r="M293" i="18"/>
  <c r="Q294" i="18"/>
  <c r="K295" i="18"/>
  <c r="M305" i="18"/>
  <c r="Q306" i="18"/>
  <c r="Y306" i="18" s="1"/>
  <c r="M312" i="18"/>
  <c r="M314" i="18"/>
  <c r="M316" i="18"/>
  <c r="Y17" i="18"/>
  <c r="Y115" i="18"/>
  <c r="V115" i="18"/>
  <c r="N9" i="18"/>
  <c r="Q11" i="18"/>
  <c r="Q13" i="18"/>
  <c r="Y13" i="18" s="1"/>
  <c r="Q15" i="18"/>
  <c r="Y15" i="18" s="1"/>
  <c r="L8" i="18"/>
  <c r="K9" i="18"/>
  <c r="M9" i="18"/>
  <c r="L10" i="18"/>
  <c r="N10" i="18"/>
  <c r="P10" i="18" s="1"/>
  <c r="V10" i="18" s="1"/>
  <c r="K11" i="18"/>
  <c r="L11" i="18" s="1"/>
  <c r="M11" i="18"/>
  <c r="V11" i="18"/>
  <c r="N12" i="18"/>
  <c r="P12" i="18" s="1"/>
  <c r="V12" i="18" s="1"/>
  <c r="K13" i="18"/>
  <c r="L13" i="18" s="1"/>
  <c r="M13" i="18"/>
  <c r="L14" i="18"/>
  <c r="N14" i="18"/>
  <c r="P14" i="18" s="1"/>
  <c r="V14" i="18" s="1"/>
  <c r="K15" i="18"/>
  <c r="L15" i="18" s="1"/>
  <c r="M15" i="18"/>
  <c r="L16" i="18"/>
  <c r="N16" i="18"/>
  <c r="P16" i="18" s="1"/>
  <c r="V16" i="18" s="1"/>
  <c r="L24" i="18"/>
  <c r="N24" i="18"/>
  <c r="P24" i="18"/>
  <c r="K28" i="18"/>
  <c r="M28" i="18"/>
  <c r="V230" i="18"/>
  <c r="Z230" i="18" s="1"/>
  <c r="L36" i="18"/>
  <c r="V37" i="18"/>
  <c r="W38" i="18"/>
  <c r="K39" i="18"/>
  <c r="L39" i="18" s="1"/>
  <c r="M39" i="18"/>
  <c r="M41" i="18" s="1"/>
  <c r="Y46" i="18"/>
  <c r="L48" i="18"/>
  <c r="W55" i="18"/>
  <c r="Y56" i="18"/>
  <c r="N61" i="18"/>
  <c r="Q61" i="18"/>
  <c r="L66" i="18"/>
  <c r="L67" i="18"/>
  <c r="Q283" i="18"/>
  <c r="Q276" i="18"/>
  <c r="Q284" i="18"/>
  <c r="M276" i="18"/>
  <c r="M277" i="18" s="1"/>
  <c r="K276" i="18"/>
  <c r="L69" i="18"/>
  <c r="N69" i="18" s="1"/>
  <c r="P69" i="18" s="1"/>
  <c r="V69" i="18" s="1"/>
  <c r="K70" i="18"/>
  <c r="L70" i="18" s="1"/>
  <c r="M70" i="18"/>
  <c r="Q71" i="18"/>
  <c r="Y71" i="18" s="1"/>
  <c r="K72" i="18"/>
  <c r="L72" i="18" s="1"/>
  <c r="M72" i="18"/>
  <c r="Y29" i="18"/>
  <c r="N111" i="18"/>
  <c r="P111" i="18" s="1"/>
  <c r="Y111" i="18" s="1"/>
  <c r="N112" i="18"/>
  <c r="P112" i="18" s="1"/>
  <c r="Y112" i="18" s="1"/>
  <c r="N113" i="18"/>
  <c r="P113" i="18" s="1"/>
  <c r="Y113" i="18" s="1"/>
  <c r="L114" i="18"/>
  <c r="N114" i="18"/>
  <c r="P114" i="18" s="1"/>
  <c r="V114" i="18" s="1"/>
  <c r="L122" i="18"/>
  <c r="N124" i="18"/>
  <c r="P124" i="18" s="1"/>
  <c r="Y124" i="18" s="1"/>
  <c r="N125" i="18"/>
  <c r="P125" i="18" s="1"/>
  <c r="Y125" i="18" s="1"/>
  <c r="N126" i="18"/>
  <c r="P126" i="18" s="1"/>
  <c r="Y126" i="18" s="1"/>
  <c r="N127" i="18"/>
  <c r="P127" i="18" s="1"/>
  <c r="Y127" i="18" s="1"/>
  <c r="N128" i="18"/>
  <c r="P128" i="18" s="1"/>
  <c r="Y128" i="18" s="1"/>
  <c r="K136" i="18"/>
  <c r="L136" i="18" s="1"/>
  <c r="M136" i="18"/>
  <c r="K137" i="18"/>
  <c r="L137" i="18" s="1"/>
  <c r="M137" i="18"/>
  <c r="K140" i="18"/>
  <c r="L140" i="18" s="1"/>
  <c r="M140" i="18"/>
  <c r="K151" i="18"/>
  <c r="L151" i="18" s="1"/>
  <c r="M151" i="18"/>
  <c r="K152" i="18"/>
  <c r="L152" i="18" s="1"/>
  <c r="N164" i="18"/>
  <c r="M91" i="18"/>
  <c r="M92" i="18" s="1"/>
  <c r="Y91" i="18"/>
  <c r="Y251" i="18"/>
  <c r="Y259" i="18"/>
  <c r="L9" i="18"/>
  <c r="M195" i="18"/>
  <c r="K195" i="18"/>
  <c r="L195" i="18" s="1"/>
  <c r="M203" i="18"/>
  <c r="K203" i="18"/>
  <c r="L203" i="18" s="1"/>
  <c r="N28" i="18"/>
  <c r="P28" i="18" s="1"/>
  <c r="V28" i="18" s="1"/>
  <c r="L230" i="18"/>
  <c r="M303" i="18"/>
  <c r="K303" i="18"/>
  <c r="L303" i="18" s="1"/>
  <c r="Q303" i="18"/>
  <c r="N62" i="18"/>
  <c r="P62" i="18" s="1"/>
  <c r="V62" i="18" s="1"/>
  <c r="L63" i="18"/>
  <c r="N63" i="18" s="1"/>
  <c r="P63" i="18" s="1"/>
  <c r="Y63" i="18" s="1"/>
  <c r="L64" i="18"/>
  <c r="N64" i="18" s="1"/>
  <c r="P64" i="18" s="1"/>
  <c r="Y64" i="18" s="1"/>
  <c r="N66" i="18"/>
  <c r="P66" i="18" s="1"/>
  <c r="Y66" i="18" s="1"/>
  <c r="N67" i="18"/>
  <c r="P67" i="18" s="1"/>
  <c r="Y67" i="18" s="1"/>
  <c r="N70" i="18"/>
  <c r="P70" i="18" s="1"/>
  <c r="Y70" i="18" s="1"/>
  <c r="N72" i="18"/>
  <c r="P72" i="18" s="1"/>
  <c r="Q72" i="18"/>
  <c r="N110" i="18"/>
  <c r="K111" i="18"/>
  <c r="M111" i="18"/>
  <c r="K112" i="18"/>
  <c r="L112" i="18" s="1"/>
  <c r="M112" i="18"/>
  <c r="K113" i="18"/>
  <c r="L113" i="18" s="1"/>
  <c r="M113" i="18"/>
  <c r="N122" i="18"/>
  <c r="K138" i="18"/>
  <c r="L138" i="18" s="1"/>
  <c r="M138" i="18"/>
  <c r="K141" i="18"/>
  <c r="L141" i="18" s="1"/>
  <c r="M141" i="18"/>
  <c r="K142" i="18"/>
  <c r="L142" i="18" s="1"/>
  <c r="M142" i="18"/>
  <c r="K91" i="18"/>
  <c r="K92" i="18" s="1"/>
  <c r="N166" i="18"/>
  <c r="P166" i="18" s="1"/>
  <c r="V166" i="18" s="1"/>
  <c r="M168" i="18"/>
  <c r="K168" i="18"/>
  <c r="L168" i="18" s="1"/>
  <c r="Q167" i="18"/>
  <c r="Y167" i="18" s="1"/>
  <c r="N168" i="18"/>
  <c r="P168" i="18" s="1"/>
  <c r="V168" i="18" s="1"/>
  <c r="M170" i="18"/>
  <c r="K170" i="18"/>
  <c r="L170" i="18" s="1"/>
  <c r="N170" i="18"/>
  <c r="P170" i="18" s="1"/>
  <c r="V170" i="18" s="1"/>
  <c r="M172" i="18"/>
  <c r="K172" i="18"/>
  <c r="L172" i="18" s="1"/>
  <c r="N172" i="18"/>
  <c r="P172" i="18" s="1"/>
  <c r="Y172" i="18" s="1"/>
  <c r="N178" i="18"/>
  <c r="Q178" i="18"/>
  <c r="V178" i="18" s="1"/>
  <c r="M178" i="18"/>
  <c r="K178" i="18"/>
  <c r="L178" i="18" s="1"/>
  <c r="Y217" i="18"/>
  <c r="V217" i="18"/>
  <c r="W259" i="18"/>
  <c r="V194" i="18"/>
  <c r="N196" i="18"/>
  <c r="P196" i="18" s="1"/>
  <c r="Q196" i="18"/>
  <c r="K197" i="18"/>
  <c r="L197" i="18" s="1"/>
  <c r="M197" i="18"/>
  <c r="Q198" i="18"/>
  <c r="K199" i="18"/>
  <c r="L199" i="18" s="1"/>
  <c r="M199" i="18"/>
  <c r="N205" i="18"/>
  <c r="P205" i="18" s="1"/>
  <c r="Y205" i="18" s="1"/>
  <c r="K217" i="18"/>
  <c r="L217" i="18" s="1"/>
  <c r="M217" i="18"/>
  <c r="Y243" i="18"/>
  <c r="N245" i="18"/>
  <c r="P245" i="18" s="1"/>
  <c r="Y245" i="18" s="1"/>
  <c r="Q248" i="18"/>
  <c r="N252" i="18"/>
  <c r="P252" i="18" s="1"/>
  <c r="V252" i="18" s="1"/>
  <c r="N253" i="18"/>
  <c r="P253" i="18" s="1"/>
  <c r="V253" i="18" s="1"/>
  <c r="M254" i="18"/>
  <c r="K254" i="18"/>
  <c r="L254" i="18" s="1"/>
  <c r="N254" i="18"/>
  <c r="P254" i="18" s="1"/>
  <c r="N256" i="18"/>
  <c r="P256" i="18" s="1"/>
  <c r="V256" i="18" s="1"/>
  <c r="N258" i="18"/>
  <c r="P258" i="18" s="1"/>
  <c r="V258" i="18" s="1"/>
  <c r="Q269" i="18"/>
  <c r="Y269" i="18" s="1"/>
  <c r="Q267" i="18"/>
  <c r="Y267" i="18" s="1"/>
  <c r="Q264" i="18"/>
  <c r="Q263" i="18"/>
  <c r="Y263" i="18" s="1"/>
  <c r="Q261" i="18"/>
  <c r="M260" i="18"/>
  <c r="K260" i="18"/>
  <c r="L260" i="18" s="1"/>
  <c r="Q270" i="18"/>
  <c r="Y270" i="18" s="1"/>
  <c r="Q268" i="18"/>
  <c r="Y268" i="18" s="1"/>
  <c r="Q266" i="18"/>
  <c r="Q262" i="18"/>
  <c r="N260" i="18"/>
  <c r="P260" i="18" s="1"/>
  <c r="N262" i="18"/>
  <c r="P262" i="18" s="1"/>
  <c r="V262" i="18" s="1"/>
  <c r="V270" i="18"/>
  <c r="N169" i="18"/>
  <c r="P169" i="18" s="1"/>
  <c r="V169" i="18" s="1"/>
  <c r="L171" i="18"/>
  <c r="N171" i="18"/>
  <c r="P171" i="18" s="1"/>
  <c r="V171" i="18" s="1"/>
  <c r="N177" i="18"/>
  <c r="N179" i="18"/>
  <c r="V179" i="18"/>
  <c r="Y179" i="18"/>
  <c r="Q180" i="18"/>
  <c r="Y180" i="18" s="1"/>
  <c r="L181" i="18"/>
  <c r="Q181" i="18"/>
  <c r="Y181" i="18" s="1"/>
  <c r="Q182" i="18"/>
  <c r="Y182" i="18" s="1"/>
  <c r="Q185" i="18"/>
  <c r="Y185" i="18" s="1"/>
  <c r="V191" i="18"/>
  <c r="K196" i="18"/>
  <c r="M196" i="18"/>
  <c r="Q197" i="18"/>
  <c r="K198" i="18"/>
  <c r="L198" i="18" s="1"/>
  <c r="M198" i="18"/>
  <c r="Q199" i="18"/>
  <c r="V200" i="18"/>
  <c r="N202" i="18"/>
  <c r="P202" i="18" s="1"/>
  <c r="Y202" i="18" s="1"/>
  <c r="N203" i="18"/>
  <c r="P203" i="18" s="1"/>
  <c r="V203" i="18" s="1"/>
  <c r="L204" i="18"/>
  <c r="N204" i="18"/>
  <c r="P204" i="18" s="1"/>
  <c r="Q204" i="18"/>
  <c r="K205" i="18"/>
  <c r="L205" i="18" s="1"/>
  <c r="O370" i="18"/>
  <c r="M370" i="18"/>
  <c r="K370" i="18"/>
  <c r="L370" i="18" s="1"/>
  <c r="O369" i="18"/>
  <c r="M369" i="18"/>
  <c r="K369" i="18"/>
  <c r="O302" i="18"/>
  <c r="O320" i="18" s="1"/>
  <c r="M302" i="18"/>
  <c r="K302" i="18"/>
  <c r="L206" i="18"/>
  <c r="K213" i="18"/>
  <c r="L213" i="18" s="1"/>
  <c r="M213" i="18"/>
  <c r="O213" i="18"/>
  <c r="O219" i="18" s="1"/>
  <c r="N237" i="18"/>
  <c r="Y244" i="18"/>
  <c r="K245" i="18"/>
  <c r="L245" i="18" s="1"/>
  <c r="M245" i="18"/>
  <c r="V245" i="18"/>
  <c r="Q247" i="18"/>
  <c r="W249" i="18"/>
  <c r="K250" i="18"/>
  <c r="L250" i="18" s="1"/>
  <c r="M250" i="18"/>
  <c r="O250" i="18"/>
  <c r="K252" i="18"/>
  <c r="L252" i="18" s="1"/>
  <c r="K253" i="18"/>
  <c r="L253" i="18" s="1"/>
  <c r="M253" i="18"/>
  <c r="Q254" i="18"/>
  <c r="Q260" i="18"/>
  <c r="N266" i="18"/>
  <c r="P266" i="18" s="1"/>
  <c r="K285" i="18"/>
  <c r="L292" i="18"/>
  <c r="N292" i="18"/>
  <c r="P292" i="18" s="1"/>
  <c r="Q292" i="18"/>
  <c r="N294" i="18"/>
  <c r="P294" i="18" s="1"/>
  <c r="N296" i="18"/>
  <c r="P296" i="18" s="1"/>
  <c r="M319" i="18"/>
  <c r="K319" i="18"/>
  <c r="L319" i="18" s="1"/>
  <c r="N308" i="18"/>
  <c r="P308" i="18" s="1"/>
  <c r="L255" i="18"/>
  <c r="N255" i="18"/>
  <c r="P255" i="18" s="1"/>
  <c r="V255" i="18" s="1"/>
  <c r="L257" i="18"/>
  <c r="N257" i="18"/>
  <c r="P257" i="18" s="1"/>
  <c r="Q257" i="18"/>
  <c r="K258" i="18"/>
  <c r="L258" i="18" s="1"/>
  <c r="M258" i="18"/>
  <c r="L261" i="18"/>
  <c r="N261" i="18"/>
  <c r="P261" i="18" s="1"/>
  <c r="K262" i="18"/>
  <c r="L262" i="18" s="1"/>
  <c r="M262" i="18"/>
  <c r="L263" i="18"/>
  <c r="K264" i="18"/>
  <c r="L264" i="18" s="1"/>
  <c r="M264" i="18"/>
  <c r="K266" i="18"/>
  <c r="L266" i="18" s="1"/>
  <c r="M266" i="18"/>
  <c r="L267" i="18"/>
  <c r="N291" i="18"/>
  <c r="N293" i="18"/>
  <c r="P293" i="18" s="1"/>
  <c r="Q293" i="18"/>
  <c r="K294" i="18"/>
  <c r="M294" i="18"/>
  <c r="L295" i="18"/>
  <c r="Q295" i="18"/>
  <c r="Y295" i="18" s="1"/>
  <c r="K296" i="18"/>
  <c r="L296" i="18" s="1"/>
  <c r="L305" i="18"/>
  <c r="N305" i="18"/>
  <c r="P305" i="18" s="1"/>
  <c r="Q305" i="18"/>
  <c r="K306" i="18"/>
  <c r="L306" i="18" s="1"/>
  <c r="M306" i="18"/>
  <c r="Q307" i="18"/>
  <c r="K308" i="18"/>
  <c r="L308" i="18" s="1"/>
  <c r="M308" i="18"/>
  <c r="Q308" i="18"/>
  <c r="Y311" i="18"/>
  <c r="N309" i="18"/>
  <c r="P309" i="18" s="1"/>
  <c r="Y309" i="18" s="1"/>
  <c r="N312" i="18"/>
  <c r="P312" i="18" s="1"/>
  <c r="V312" i="18" s="1"/>
  <c r="K313" i="18"/>
  <c r="L313" i="18" s="1"/>
  <c r="M313" i="18"/>
  <c r="L314" i="18"/>
  <c r="N314" i="18"/>
  <c r="P314" i="18" s="1"/>
  <c r="V314" i="18" s="1"/>
  <c r="K315" i="18"/>
  <c r="L315" i="18" s="1"/>
  <c r="M315" i="18"/>
  <c r="N316" i="18"/>
  <c r="P316" i="18" s="1"/>
  <c r="V316" i="18" s="1"/>
  <c r="K317" i="18"/>
  <c r="L317" i="18" s="1"/>
  <c r="M317" i="18"/>
  <c r="V318" i="18"/>
  <c r="L325" i="18"/>
  <c r="L331" i="18" s="1"/>
  <c r="W327" i="18"/>
  <c r="L336" i="18"/>
  <c r="L339" i="18" s="1"/>
  <c r="V345" i="18"/>
  <c r="L355" i="18"/>
  <c r="K355" i="18"/>
  <c r="N313" i="18"/>
  <c r="P313" i="18" s="1"/>
  <c r="Y313" i="18" s="1"/>
  <c r="N315" i="18"/>
  <c r="P315" i="18" s="1"/>
  <c r="Y315" i="18" s="1"/>
  <c r="N317" i="18"/>
  <c r="P317" i="18" s="1"/>
  <c r="Y317" i="18" s="1"/>
  <c r="W347" i="18"/>
  <c r="K364" i="18"/>
  <c r="V363" i="18"/>
  <c r="W387" i="18"/>
  <c r="V388" i="18"/>
  <c r="W382" i="18"/>
  <c r="V383" i="18"/>
  <c r="V390" i="18"/>
  <c r="V392" i="18"/>
  <c r="W395" i="18"/>
  <c r="V385" i="18"/>
  <c r="W396" i="18"/>
  <c r="V384" i="18"/>
  <c r="W398" i="18"/>
  <c r="V399" i="18"/>
  <c r="W400" i="18"/>
  <c r="V401" i="18"/>
  <c r="V362" i="18"/>
  <c r="W380" i="18" l="1"/>
  <c r="W378" i="18"/>
  <c r="Z378" i="18"/>
  <c r="Y310" i="18"/>
  <c r="Z91" i="18"/>
  <c r="N157" i="18"/>
  <c r="Y26" i="18"/>
  <c r="W381" i="18"/>
  <c r="Q364" i="18"/>
  <c r="L229" i="18"/>
  <c r="L233" i="18" s="1"/>
  <c r="Y140" i="18"/>
  <c r="W376" i="18"/>
  <c r="V267" i="18"/>
  <c r="N206" i="18"/>
  <c r="P206" i="18" s="1"/>
  <c r="V206" i="18" s="1"/>
  <c r="V310" i="18"/>
  <c r="Q30" i="18"/>
  <c r="L343" i="18"/>
  <c r="V8" i="18"/>
  <c r="P215" i="18"/>
  <c r="Y215" i="18" s="1"/>
  <c r="N238" i="18"/>
  <c r="P238" i="18" s="1"/>
  <c r="V238" i="18" s="1"/>
  <c r="W238" i="18" s="1"/>
  <c r="V306" i="18"/>
  <c r="Z306" i="18" s="1"/>
  <c r="Y191" i="18"/>
  <c r="V46" i="18"/>
  <c r="V151" i="18"/>
  <c r="Y138" i="18"/>
  <c r="Z36" i="18"/>
  <c r="W18" i="18"/>
  <c r="V137" i="18"/>
  <c r="W137" i="18" s="1"/>
  <c r="L57" i="18"/>
  <c r="Y359" i="18"/>
  <c r="H405" i="18"/>
  <c r="V138" i="18"/>
  <c r="Z138" i="18" s="1"/>
  <c r="Q146" i="18"/>
  <c r="Y105" i="18"/>
  <c r="Y79" i="18"/>
  <c r="V184" i="18"/>
  <c r="Y184" i="18"/>
  <c r="Y137" i="18"/>
  <c r="Q50" i="18"/>
  <c r="Y230" i="18"/>
  <c r="Z359" i="18"/>
  <c r="W359" i="18"/>
  <c r="N30" i="18"/>
  <c r="K30" i="18"/>
  <c r="M30" i="18"/>
  <c r="V24" i="18"/>
  <c r="P30" i="18"/>
  <c r="Q153" i="18"/>
  <c r="V150" i="18"/>
  <c r="W150" i="18" s="1"/>
  <c r="N104" i="18"/>
  <c r="P104" i="18" s="1"/>
  <c r="P106" i="18" s="1"/>
  <c r="Z79" i="18"/>
  <c r="W79" i="18"/>
  <c r="N277" i="18"/>
  <c r="Y212" i="18"/>
  <c r="W158" i="18"/>
  <c r="W352" i="18"/>
  <c r="Z352" i="18"/>
  <c r="V26" i="18"/>
  <c r="Z26" i="18" s="1"/>
  <c r="Y296" i="18"/>
  <c r="Y253" i="18"/>
  <c r="V123" i="18"/>
  <c r="Z123" i="18" s="1"/>
  <c r="V65" i="18"/>
  <c r="Y65" i="18"/>
  <c r="P81" i="18"/>
  <c r="L79" i="18"/>
  <c r="L81" i="18" s="1"/>
  <c r="K81" i="18"/>
  <c r="Z77" i="18"/>
  <c r="V81" i="18"/>
  <c r="N81" i="18"/>
  <c r="V269" i="18"/>
  <c r="W269" i="18" s="1"/>
  <c r="V263" i="18"/>
  <c r="W263" i="18" s="1"/>
  <c r="L129" i="18"/>
  <c r="L160" i="18"/>
  <c r="M57" i="18"/>
  <c r="V196" i="18"/>
  <c r="Z196" i="18" s="1"/>
  <c r="V13" i="18"/>
  <c r="Z13" i="18" s="1"/>
  <c r="Y308" i="18"/>
  <c r="L364" i="18"/>
  <c r="Y103" i="18"/>
  <c r="V29" i="18"/>
  <c r="Z29" i="18" s="1"/>
  <c r="V311" i="18"/>
  <c r="Z311" i="18" s="1"/>
  <c r="V212" i="18"/>
  <c r="W212" i="18" s="1"/>
  <c r="M364" i="18"/>
  <c r="M348" i="18"/>
  <c r="W251" i="18"/>
  <c r="Z251" i="18"/>
  <c r="W397" i="18"/>
  <c r="W393" i="18"/>
  <c r="W391" i="18"/>
  <c r="W389" i="18"/>
  <c r="W77" i="18"/>
  <c r="Q355" i="18"/>
  <c r="M297" i="18"/>
  <c r="V261" i="18"/>
  <c r="W261" i="18" s="1"/>
  <c r="Y294" i="18"/>
  <c r="L224" i="18"/>
  <c r="L225" i="18" s="1"/>
  <c r="Q219" i="18"/>
  <c r="M186" i="18"/>
  <c r="L28" i="18"/>
  <c r="L30" i="18" s="1"/>
  <c r="K160" i="18"/>
  <c r="M153" i="18"/>
  <c r="L98" i="18"/>
  <c r="L99" i="18" s="1"/>
  <c r="W27" i="18"/>
  <c r="Y347" i="18"/>
  <c r="V142" i="18"/>
  <c r="Z142" i="18" s="1"/>
  <c r="K57" i="18"/>
  <c r="Y361" i="18"/>
  <c r="Y364" i="18" s="1"/>
  <c r="V103" i="18"/>
  <c r="Y80" i="18"/>
  <c r="Y81" i="18" s="1"/>
  <c r="V296" i="18"/>
  <c r="Z296" i="18" s="1"/>
  <c r="V292" i="18"/>
  <c r="Z292" i="18" s="1"/>
  <c r="N250" i="18"/>
  <c r="P250" i="18" s="1"/>
  <c r="Z242" i="18"/>
  <c r="Y252" i="18"/>
  <c r="Y196" i="18"/>
  <c r="V128" i="18"/>
  <c r="Z128" i="18" s="1"/>
  <c r="V127" i="18"/>
  <c r="W127" i="18" s="1"/>
  <c r="V126" i="18"/>
  <c r="W126" i="18" s="1"/>
  <c r="V125" i="18"/>
  <c r="W125" i="18" s="1"/>
  <c r="V124" i="18"/>
  <c r="Z124" i="18" s="1"/>
  <c r="Y24" i="18"/>
  <c r="V232" i="18"/>
  <c r="V136" i="18"/>
  <c r="W136" i="18" s="1"/>
  <c r="V47" i="18"/>
  <c r="Z47" i="18" s="1"/>
  <c r="V266" i="18"/>
  <c r="W266" i="18" s="1"/>
  <c r="Z105" i="18"/>
  <c r="W105" i="18"/>
  <c r="W26" i="18"/>
  <c r="V330" i="18"/>
  <c r="Y327" i="18"/>
  <c r="Y266" i="18"/>
  <c r="Y254" i="18"/>
  <c r="M219" i="18"/>
  <c r="V344" i="18"/>
  <c r="Z344" i="18" s="1"/>
  <c r="V231" i="18"/>
  <c r="V214" i="18"/>
  <c r="W214" i="18" s="1"/>
  <c r="Y8" i="18"/>
  <c r="N193" i="18"/>
  <c r="P193" i="18" s="1"/>
  <c r="P207" i="18" s="1"/>
  <c r="Z328" i="18"/>
  <c r="W328" i="18"/>
  <c r="Z304" i="18"/>
  <c r="W304" i="18"/>
  <c r="Z329" i="18"/>
  <c r="W329" i="18"/>
  <c r="Z152" i="18"/>
  <c r="W152" i="18"/>
  <c r="W338" i="18"/>
  <c r="Z338" i="18"/>
  <c r="Z246" i="18"/>
  <c r="W246" i="18"/>
  <c r="L219" i="18"/>
  <c r="Z165" i="18"/>
  <c r="P364" i="18"/>
  <c r="N348" i="18"/>
  <c r="P343" i="18"/>
  <c r="Z360" i="18"/>
  <c r="W360" i="18"/>
  <c r="Y346" i="18"/>
  <c r="Y338" i="18"/>
  <c r="N339" i="18"/>
  <c r="P336" i="18"/>
  <c r="N364" i="18"/>
  <c r="Y329" i="18"/>
  <c r="N233" i="18"/>
  <c r="P229" i="18"/>
  <c r="Y229" i="18" s="1"/>
  <c r="Y233" i="18" s="1"/>
  <c r="N225" i="18"/>
  <c r="P224" i="18"/>
  <c r="Z140" i="18"/>
  <c r="W140" i="18"/>
  <c r="Z136" i="18"/>
  <c r="N99" i="18"/>
  <c r="P98" i="18"/>
  <c r="W47" i="18"/>
  <c r="Y328" i="18"/>
  <c r="N92" i="18"/>
  <c r="P90" i="18"/>
  <c r="Y90" i="18" s="1"/>
  <c r="Y92" i="18" s="1"/>
  <c r="P85" i="18"/>
  <c r="N86" i="18"/>
  <c r="Z80" i="18"/>
  <c r="W80" i="18"/>
  <c r="Y152" i="18"/>
  <c r="Y153" i="18" s="1"/>
  <c r="Z141" i="18"/>
  <c r="W141" i="18"/>
  <c r="Z151" i="18"/>
  <c r="W151" i="18"/>
  <c r="P153" i="18"/>
  <c r="V294" i="18"/>
  <c r="Z294" i="18" s="1"/>
  <c r="Y260" i="18"/>
  <c r="O371" i="18"/>
  <c r="V205" i="18"/>
  <c r="W205" i="18" s="1"/>
  <c r="Y204" i="18"/>
  <c r="Y178" i="18"/>
  <c r="V172" i="18"/>
  <c r="Z172" i="18" s="1"/>
  <c r="Y72" i="18"/>
  <c r="V67" i="18"/>
  <c r="Z67" i="18" s="1"/>
  <c r="V66" i="18"/>
  <c r="W66" i="18" s="1"/>
  <c r="V64" i="18"/>
  <c r="Z64" i="18" s="1"/>
  <c r="V63" i="18"/>
  <c r="W63" i="18" s="1"/>
  <c r="Y62" i="18"/>
  <c r="Y28" i="18"/>
  <c r="V111" i="18"/>
  <c r="W111" i="18" s="1"/>
  <c r="V15" i="18"/>
  <c r="Z15" i="18" s="1"/>
  <c r="V361" i="18"/>
  <c r="V364" i="18" s="1"/>
  <c r="N355" i="18"/>
  <c r="Y355" i="18"/>
  <c r="Z379" i="18"/>
  <c r="W379" i="18"/>
  <c r="Z78" i="18"/>
  <c r="W78" i="18"/>
  <c r="Q371" i="18"/>
  <c r="L348" i="18"/>
  <c r="V346" i="18"/>
  <c r="N331" i="18"/>
  <c r="P325" i="18"/>
  <c r="Y304" i="18"/>
  <c r="Z319" i="18"/>
  <c r="W319" i="18"/>
  <c r="Y246" i="18"/>
  <c r="Z240" i="18"/>
  <c r="W138" i="18"/>
  <c r="Z137" i="18"/>
  <c r="N146" i="18"/>
  <c r="P135" i="18"/>
  <c r="P57" i="18"/>
  <c r="Y54" i="18"/>
  <c r="Y57" i="18" s="1"/>
  <c r="V54" i="18"/>
  <c r="V57" i="18" s="1"/>
  <c r="N41" i="18"/>
  <c r="P35" i="18"/>
  <c r="N153" i="18"/>
  <c r="K106" i="18"/>
  <c r="Z195" i="18"/>
  <c r="W195" i="18"/>
  <c r="N57" i="18"/>
  <c r="Z39" i="18"/>
  <c r="W39" i="18"/>
  <c r="V315" i="18"/>
  <c r="W315" i="18" s="1"/>
  <c r="V308" i="18"/>
  <c r="Z308" i="18" s="1"/>
  <c r="Y312" i="18"/>
  <c r="K207" i="18"/>
  <c r="Y168" i="18"/>
  <c r="K116" i="18"/>
  <c r="M146" i="18"/>
  <c r="M73" i="18"/>
  <c r="K19" i="18"/>
  <c r="Q19" i="18"/>
  <c r="V183" i="18"/>
  <c r="V317" i="18"/>
  <c r="W317" i="18" s="1"/>
  <c r="V313" i="18"/>
  <c r="Z313" i="18" s="1"/>
  <c r="Y314" i="18"/>
  <c r="Y305" i="18"/>
  <c r="K297" i="18"/>
  <c r="V293" i="18"/>
  <c r="W293" i="18" s="1"/>
  <c r="Y257" i="18"/>
  <c r="Y292" i="18"/>
  <c r="M271" i="18"/>
  <c r="Y206" i="18"/>
  <c r="V202" i="18"/>
  <c r="Z202" i="18" s="1"/>
  <c r="M207" i="18"/>
  <c r="V268" i="18"/>
  <c r="Z268" i="18" s="1"/>
  <c r="Y256" i="18"/>
  <c r="Y166" i="18"/>
  <c r="M116" i="18"/>
  <c r="V72" i="18"/>
  <c r="W72" i="18" s="1"/>
  <c r="V113" i="18"/>
  <c r="Z113" i="18" s="1"/>
  <c r="K73" i="18"/>
  <c r="Y69" i="18"/>
  <c r="Y11" i="18"/>
  <c r="M19" i="18"/>
  <c r="Z203" i="18"/>
  <c r="W203" i="18"/>
  <c r="Z256" i="18"/>
  <c r="W256" i="18"/>
  <c r="Z178" i="18"/>
  <c r="W178" i="18"/>
  <c r="W170" i="18"/>
  <c r="Z170" i="18"/>
  <c r="W166" i="18"/>
  <c r="Z166" i="18"/>
  <c r="Z72" i="18"/>
  <c r="Z68" i="18"/>
  <c r="Z62" i="18"/>
  <c r="W62" i="18"/>
  <c r="Z114" i="18"/>
  <c r="W114" i="18"/>
  <c r="W308" i="18"/>
  <c r="Z206" i="18"/>
  <c r="W206" i="18"/>
  <c r="Z262" i="18"/>
  <c r="W262" i="18"/>
  <c r="Z258" i="18"/>
  <c r="W258" i="18"/>
  <c r="W168" i="18"/>
  <c r="Z168" i="18"/>
  <c r="Z69" i="18"/>
  <c r="W69" i="18"/>
  <c r="Z362" i="18"/>
  <c r="W362" i="18"/>
  <c r="Z384" i="18"/>
  <c r="W384" i="18"/>
  <c r="Z385" i="18"/>
  <c r="W385" i="18"/>
  <c r="Z386" i="18"/>
  <c r="Z390" i="18"/>
  <c r="W390" i="18"/>
  <c r="Z388" i="18"/>
  <c r="W388" i="18"/>
  <c r="Q297" i="18"/>
  <c r="Z263" i="18"/>
  <c r="Y247" i="18"/>
  <c r="V247" i="18"/>
  <c r="Z243" i="18"/>
  <c r="O271" i="18"/>
  <c r="P237" i="18"/>
  <c r="Z218" i="18"/>
  <c r="M320" i="18"/>
  <c r="K371" i="18"/>
  <c r="L369" i="18"/>
  <c r="Y199" i="18"/>
  <c r="V199" i="18"/>
  <c r="Z191" i="18"/>
  <c r="W191" i="18"/>
  <c r="N186" i="18"/>
  <c r="P177" i="18"/>
  <c r="Z171" i="18"/>
  <c r="W171" i="18"/>
  <c r="Z169" i="18"/>
  <c r="W169" i="18"/>
  <c r="Y262" i="18"/>
  <c r="V260" i="18"/>
  <c r="Y261" i="18"/>
  <c r="Y264" i="18"/>
  <c r="V264" i="18"/>
  <c r="Y258" i="18"/>
  <c r="V254" i="18"/>
  <c r="Z253" i="18"/>
  <c r="W253" i="18"/>
  <c r="Z252" i="18"/>
  <c r="W252" i="18"/>
  <c r="K219" i="18"/>
  <c r="Y198" i="18"/>
  <c r="V198" i="18"/>
  <c r="Z194" i="18"/>
  <c r="W194" i="18"/>
  <c r="V181" i="18"/>
  <c r="Y203" i="18"/>
  <c r="V182" i="18"/>
  <c r="Z217" i="18"/>
  <c r="W217" i="18"/>
  <c r="Q186" i="18"/>
  <c r="Y170" i="18"/>
  <c r="P157" i="18"/>
  <c r="N160" i="18"/>
  <c r="N129" i="18"/>
  <c r="P122" i="18"/>
  <c r="Z66" i="18"/>
  <c r="Z28" i="18"/>
  <c r="W28" i="18"/>
  <c r="Y192" i="18"/>
  <c r="V192" i="18"/>
  <c r="K186" i="18"/>
  <c r="N173" i="18"/>
  <c r="P164" i="18"/>
  <c r="L146" i="18"/>
  <c r="Z127" i="18"/>
  <c r="L111" i="18"/>
  <c r="L116" i="18" s="1"/>
  <c r="W29" i="18"/>
  <c r="V70" i="18"/>
  <c r="Y276" i="18"/>
  <c r="Y277" i="18" s="1"/>
  <c r="V276" i="18"/>
  <c r="Q277" i="18"/>
  <c r="Y68" i="18"/>
  <c r="P61" i="18"/>
  <c r="Y61" i="18" s="1"/>
  <c r="N73" i="18"/>
  <c r="Z56" i="18"/>
  <c r="L50" i="18"/>
  <c r="N48" i="18"/>
  <c r="Z46" i="18"/>
  <c r="W46" i="18"/>
  <c r="Z37" i="18"/>
  <c r="W37" i="18"/>
  <c r="Z25" i="18"/>
  <c r="Z24" i="18"/>
  <c r="W24" i="18"/>
  <c r="Z16" i="18"/>
  <c r="W16" i="18"/>
  <c r="Z14" i="18"/>
  <c r="W14" i="18"/>
  <c r="Z12" i="18"/>
  <c r="W12" i="18"/>
  <c r="Z10" i="18"/>
  <c r="W10" i="18"/>
  <c r="L19" i="18"/>
  <c r="Z8" i="18"/>
  <c r="W8" i="18"/>
  <c r="Y169" i="18"/>
  <c r="Q173" i="18"/>
  <c r="K41" i="18"/>
  <c r="Y14" i="18"/>
  <c r="Y10" i="18"/>
  <c r="K146" i="18"/>
  <c r="Z115" i="18"/>
  <c r="W115" i="18"/>
  <c r="Y114" i="18"/>
  <c r="L73" i="18"/>
  <c r="Z17" i="18"/>
  <c r="W17" i="18"/>
  <c r="Z401" i="18"/>
  <c r="W401" i="18"/>
  <c r="Z399" i="18"/>
  <c r="W399" i="18"/>
  <c r="Z392" i="18"/>
  <c r="W392" i="18"/>
  <c r="Z383" i="18"/>
  <c r="W383" i="18"/>
  <c r="W354" i="18"/>
  <c r="Z318" i="18"/>
  <c r="W318" i="18"/>
  <c r="Y307" i="18"/>
  <c r="V307" i="18"/>
  <c r="Z363" i="18"/>
  <c r="W363" i="18"/>
  <c r="Z345" i="18"/>
  <c r="W345" i="18"/>
  <c r="Z316" i="18"/>
  <c r="W316" i="18"/>
  <c r="Z314" i="18"/>
  <c r="W314" i="18"/>
  <c r="Z312" i="18"/>
  <c r="W312" i="18"/>
  <c r="V309" i="18"/>
  <c r="Y316" i="18"/>
  <c r="W306" i="18"/>
  <c r="V305" i="18"/>
  <c r="Y293" i="18"/>
  <c r="N297" i="18"/>
  <c r="P291" i="18"/>
  <c r="V257" i="18"/>
  <c r="Z255" i="18"/>
  <c r="W255" i="18"/>
  <c r="L294" i="18"/>
  <c r="L297" i="18" s="1"/>
  <c r="Z267" i="18"/>
  <c r="W267" i="18"/>
  <c r="Z245" i="18"/>
  <c r="W245" i="18"/>
  <c r="Y242" i="18"/>
  <c r="Q271" i="18"/>
  <c r="L271" i="18"/>
  <c r="N213" i="18"/>
  <c r="K320" i="18"/>
  <c r="L302" i="18"/>
  <c r="M371" i="18"/>
  <c r="N370" i="18"/>
  <c r="P370" i="18" s="1"/>
  <c r="V204" i="18"/>
  <c r="Z200" i="18"/>
  <c r="W200" i="18"/>
  <c r="Y197" i="18"/>
  <c r="V197" i="18"/>
  <c r="Z179" i="18"/>
  <c r="W179" i="18"/>
  <c r="L186" i="18"/>
  <c r="V295" i="18"/>
  <c r="Z270" i="18"/>
  <c r="W270" i="18"/>
  <c r="Y265" i="18"/>
  <c r="Y248" i="18"/>
  <c r="V248" i="18"/>
  <c r="K271" i="18"/>
  <c r="Q207" i="18"/>
  <c r="L196" i="18"/>
  <c r="L207" i="18" s="1"/>
  <c r="Y255" i="18"/>
  <c r="V180" i="18"/>
  <c r="L91" i="18"/>
  <c r="L173" i="18" s="1"/>
  <c r="K173" i="18"/>
  <c r="N116" i="18"/>
  <c r="P110" i="18"/>
  <c r="N106" i="18"/>
  <c r="Q320" i="18"/>
  <c r="Y303" i="18"/>
  <c r="V303" i="18"/>
  <c r="V185" i="18"/>
  <c r="M173" i="18"/>
  <c r="L153" i="18"/>
  <c r="W123" i="18"/>
  <c r="V112" i="18"/>
  <c r="L276" i="18"/>
  <c r="L277" i="18" s="1"/>
  <c r="K277" i="18"/>
  <c r="Y284" i="18"/>
  <c r="V284" i="18"/>
  <c r="Q285" i="18"/>
  <c r="Y283" i="18"/>
  <c r="V283" i="18"/>
  <c r="Q73" i="18"/>
  <c r="L41" i="18"/>
  <c r="W230" i="18"/>
  <c r="W15" i="18"/>
  <c r="W13" i="18"/>
  <c r="W11" i="18"/>
  <c r="Z11" i="18"/>
  <c r="N19" i="18"/>
  <c r="P9" i="18"/>
  <c r="Y171" i="18"/>
  <c r="V167" i="18"/>
  <c r="K153" i="18"/>
  <c r="V71" i="18"/>
  <c r="Y16" i="18"/>
  <c r="Y12" i="18"/>
  <c r="W313" i="18" l="1"/>
  <c r="Z315" i="18"/>
  <c r="Z205" i="18"/>
  <c r="W196" i="18"/>
  <c r="Z63" i="18"/>
  <c r="V215" i="18"/>
  <c r="Z215" i="18" s="1"/>
  <c r="W310" i="18"/>
  <c r="Z310" i="18"/>
  <c r="Z261" i="18"/>
  <c r="O405" i="18"/>
  <c r="Q405" i="18"/>
  <c r="K405" i="18"/>
  <c r="M405" i="18"/>
  <c r="W184" i="18"/>
  <c r="Z184" i="18"/>
  <c r="Z317" i="18"/>
  <c r="Z244" i="18"/>
  <c r="W232" i="18"/>
  <c r="Z232" i="18"/>
  <c r="W231" i="18"/>
  <c r="Z231" i="18"/>
  <c r="V30" i="18"/>
  <c r="W30" i="18"/>
  <c r="Y30" i="18"/>
  <c r="W311" i="18"/>
  <c r="W296" i="18"/>
  <c r="Z125" i="18"/>
  <c r="N271" i="18"/>
  <c r="Z266" i="18"/>
  <c r="V153" i="18"/>
  <c r="W64" i="18"/>
  <c r="Z111" i="18"/>
  <c r="W292" i="18"/>
  <c r="W294" i="18"/>
  <c r="W124" i="18"/>
  <c r="Z126" i="18"/>
  <c r="W128" i="18"/>
  <c r="W67" i="18"/>
  <c r="W172" i="18"/>
  <c r="W268" i="18"/>
  <c r="Z269" i="18"/>
  <c r="W142" i="18"/>
  <c r="W113" i="18"/>
  <c r="L92" i="18"/>
  <c r="W65" i="18"/>
  <c r="Z65" i="18"/>
  <c r="W81" i="18"/>
  <c r="Z81" i="18"/>
  <c r="Z150" i="18"/>
  <c r="Z153" i="18" s="1"/>
  <c r="N207" i="18"/>
  <c r="W202" i="18"/>
  <c r="Y207" i="18"/>
  <c r="Y73" i="18"/>
  <c r="Z212" i="18"/>
  <c r="W344" i="18"/>
  <c r="Z293" i="18"/>
  <c r="Z214" i="18"/>
  <c r="W103" i="18"/>
  <c r="Z103" i="18"/>
  <c r="W153" i="18"/>
  <c r="V193" i="18"/>
  <c r="V207" i="18" s="1"/>
  <c r="Z207" i="18" s="1"/>
  <c r="Y193" i="18"/>
  <c r="Y285" i="18"/>
  <c r="Z330" i="18"/>
  <c r="W330" i="18"/>
  <c r="P41" i="18"/>
  <c r="Y35" i="18"/>
  <c r="Y41" i="18" s="1"/>
  <c r="V35" i="18"/>
  <c r="Z54" i="18"/>
  <c r="Z57" i="18" s="1"/>
  <c r="W54" i="18"/>
  <c r="W57" i="18" s="1"/>
  <c r="P331" i="18"/>
  <c r="V325" i="18"/>
  <c r="Y325" i="18"/>
  <c r="Y331" i="18" s="1"/>
  <c r="W346" i="18"/>
  <c r="Z346" i="18"/>
  <c r="Z49" i="18"/>
  <c r="P92" i="18"/>
  <c r="V90" i="18"/>
  <c r="P146" i="18"/>
  <c r="V135" i="18"/>
  <c r="Y135" i="18"/>
  <c r="P355" i="18"/>
  <c r="Z361" i="18"/>
  <c r="Z364" i="18" s="1"/>
  <c r="W361" i="18"/>
  <c r="W364" i="18" s="1"/>
  <c r="P86" i="18"/>
  <c r="V85" i="18"/>
  <c r="Y85" i="18"/>
  <c r="Y86" i="18" s="1"/>
  <c r="P99" i="18"/>
  <c r="V98" i="18"/>
  <c r="Y98" i="18"/>
  <c r="Y99" i="18" s="1"/>
  <c r="P225" i="18"/>
  <c r="V224" i="18"/>
  <c r="Y224" i="18"/>
  <c r="Y225" i="18" s="1"/>
  <c r="P233" i="18"/>
  <c r="V229" i="18"/>
  <c r="P339" i="18"/>
  <c r="V336" i="18"/>
  <c r="Y336" i="18"/>
  <c r="Y339" i="18" s="1"/>
  <c r="P348" i="18"/>
  <c r="V343" i="18"/>
  <c r="Y343" i="18"/>
  <c r="Y348" i="18" s="1"/>
  <c r="Z183" i="18"/>
  <c r="W183" i="18"/>
  <c r="Z284" i="18"/>
  <c r="W284" i="18"/>
  <c r="Z303" i="18"/>
  <c r="W303" i="18"/>
  <c r="Z248" i="18"/>
  <c r="W248" i="18"/>
  <c r="Z265" i="18"/>
  <c r="Z295" i="18"/>
  <c r="W295" i="18"/>
  <c r="Z197" i="18"/>
  <c r="W197" i="18"/>
  <c r="Z204" i="18"/>
  <c r="W204" i="18"/>
  <c r="N219" i="18"/>
  <c r="P213" i="18"/>
  <c r="Z257" i="18"/>
  <c r="W257" i="18"/>
  <c r="Z305" i="18"/>
  <c r="W305" i="18"/>
  <c r="W309" i="18"/>
  <c r="Z309" i="18"/>
  <c r="N50" i="18"/>
  <c r="P48" i="18"/>
  <c r="V61" i="18"/>
  <c r="P73" i="18"/>
  <c r="P173" i="18"/>
  <c r="Y164" i="18"/>
  <c r="Y173" i="18" s="1"/>
  <c r="V164" i="18"/>
  <c r="Y157" i="18"/>
  <c r="Y160" i="18" s="1"/>
  <c r="V157" i="18"/>
  <c r="P160" i="18"/>
  <c r="Z181" i="18"/>
  <c r="W181" i="18"/>
  <c r="Z254" i="18"/>
  <c r="W254" i="18"/>
  <c r="Z264" i="18"/>
  <c r="W264" i="18"/>
  <c r="Z199" i="18"/>
  <c r="W199" i="18"/>
  <c r="P271" i="18"/>
  <c r="Y237" i="18"/>
  <c r="V237" i="18"/>
  <c r="Y238" i="18"/>
  <c r="Z247" i="18"/>
  <c r="W247" i="18"/>
  <c r="Y250" i="18"/>
  <c r="V250" i="18"/>
  <c r="Z112" i="18"/>
  <c r="W112" i="18"/>
  <c r="Z185" i="18"/>
  <c r="W185" i="18"/>
  <c r="Z71" i="18"/>
  <c r="W71" i="18"/>
  <c r="Z167" i="18"/>
  <c r="W167" i="18"/>
  <c r="V9" i="18"/>
  <c r="Y9" i="18"/>
  <c r="Y19" i="18" s="1"/>
  <c r="P19" i="18"/>
  <c r="V285" i="18"/>
  <c r="Z283" i="18"/>
  <c r="W283" i="18"/>
  <c r="Y104" i="18"/>
  <c r="Y106" i="18" s="1"/>
  <c r="V104" i="18"/>
  <c r="P116" i="18"/>
  <c r="Y110" i="18"/>
  <c r="Y116" i="18" s="1"/>
  <c r="V110" i="18"/>
  <c r="Z180" i="18"/>
  <c r="W180" i="18"/>
  <c r="V370" i="18"/>
  <c r="Y370" i="18"/>
  <c r="L320" i="18"/>
  <c r="N302" i="18"/>
  <c r="P297" i="18"/>
  <c r="Y291" i="18"/>
  <c r="Y297" i="18" s="1"/>
  <c r="V291" i="18"/>
  <c r="Z307" i="18"/>
  <c r="W307" i="18"/>
  <c r="Z30" i="18"/>
  <c r="V277" i="18"/>
  <c r="Z276" i="18"/>
  <c r="Z277" i="18" s="1"/>
  <c r="W276" i="18"/>
  <c r="W277" i="18" s="1"/>
  <c r="Z70" i="18"/>
  <c r="W70" i="18"/>
  <c r="Z192" i="18"/>
  <c r="W192" i="18"/>
  <c r="P129" i="18"/>
  <c r="Y122" i="18"/>
  <c r="Y129" i="18" s="1"/>
  <c r="V122" i="18"/>
  <c r="Z182" i="18"/>
  <c r="W182" i="18"/>
  <c r="Z198" i="18"/>
  <c r="W198" i="18"/>
  <c r="Z260" i="18"/>
  <c r="W260" i="18"/>
  <c r="P186" i="18"/>
  <c r="Y186" i="18" s="1"/>
  <c r="V177" i="18"/>
  <c r="Y177" i="18"/>
  <c r="L371" i="18"/>
  <c r="N369" i="18"/>
  <c r="W215" i="18" l="1"/>
  <c r="W285" i="18"/>
  <c r="Z285" i="18"/>
  <c r="L405" i="18"/>
  <c r="Z355" i="18"/>
  <c r="V355" i="18"/>
  <c r="Z193" i="18"/>
  <c r="W193" i="18"/>
  <c r="W207" i="18" s="1"/>
  <c r="W343" i="18"/>
  <c r="W348" i="18" s="1"/>
  <c r="Z343" i="18"/>
  <c r="Z348" i="18" s="1"/>
  <c r="V348" i="18"/>
  <c r="Z224" i="18"/>
  <c r="Z225" i="18" s="1"/>
  <c r="V225" i="18"/>
  <c r="W224" i="18"/>
  <c r="W225" i="18" s="1"/>
  <c r="Z85" i="18"/>
  <c r="Z86" i="18" s="1"/>
  <c r="W85" i="18"/>
  <c r="W86" i="18" s="1"/>
  <c r="V86" i="18"/>
  <c r="W355" i="18"/>
  <c r="W135" i="18"/>
  <c r="W146" i="18" s="1"/>
  <c r="Z135" i="18"/>
  <c r="Z146" i="18" s="1"/>
  <c r="Z90" i="18"/>
  <c r="Z92" i="18" s="1"/>
  <c r="W90" i="18"/>
  <c r="W92" i="18" s="1"/>
  <c r="V92" i="18"/>
  <c r="V331" i="18"/>
  <c r="Z325" i="18"/>
  <c r="Z331" i="18" s="1"/>
  <c r="W325" i="18"/>
  <c r="W331" i="18" s="1"/>
  <c r="Z35" i="18"/>
  <c r="Z41" i="18" s="1"/>
  <c r="W35" i="18"/>
  <c r="W41" i="18" s="1"/>
  <c r="V41" i="18"/>
  <c r="V339" i="18"/>
  <c r="Z336" i="18"/>
  <c r="Z339" i="18" s="1"/>
  <c r="W336" i="18"/>
  <c r="W339" i="18" s="1"/>
  <c r="Z229" i="18"/>
  <c r="Z233" i="18" s="1"/>
  <c r="V233" i="18"/>
  <c r="W229" i="18"/>
  <c r="W233" i="18" s="1"/>
  <c r="V99" i="18"/>
  <c r="Z98" i="18"/>
  <c r="Z99" i="18" s="1"/>
  <c r="W98" i="18"/>
  <c r="W99" i="18" s="1"/>
  <c r="Z177" i="18"/>
  <c r="W177" i="18"/>
  <c r="W186" i="18" s="1"/>
  <c r="V186" i="18"/>
  <c r="Z186" i="18" s="1"/>
  <c r="V129" i="18"/>
  <c r="Z122" i="18"/>
  <c r="Z129" i="18" s="1"/>
  <c r="W122" i="18"/>
  <c r="W129" i="18" s="1"/>
  <c r="V297" i="18"/>
  <c r="Z291" i="18"/>
  <c r="Z297" i="18" s="1"/>
  <c r="W291" i="18"/>
  <c r="W297" i="18" s="1"/>
  <c r="Z370" i="18"/>
  <c r="W370" i="18"/>
  <c r="Z104" i="18"/>
  <c r="Z106" i="18" s="1"/>
  <c r="W104" i="18"/>
  <c r="W106" i="18" s="1"/>
  <c r="V106" i="18"/>
  <c r="Z9" i="18"/>
  <c r="Z19" i="18" s="1"/>
  <c r="W9" i="18"/>
  <c r="W19" i="18" s="1"/>
  <c r="V19" i="18"/>
  <c r="Y271" i="18"/>
  <c r="Z157" i="18"/>
  <c r="Z160" i="18" s="1"/>
  <c r="V160" i="18"/>
  <c r="W157" i="18"/>
  <c r="W160" i="18" s="1"/>
  <c r="V173" i="18"/>
  <c r="Z164" i="18"/>
  <c r="Z173" i="18" s="1"/>
  <c r="W164" i="18"/>
  <c r="W173" i="18" s="1"/>
  <c r="V73" i="18"/>
  <c r="Z61" i="18"/>
  <c r="Z73" i="18" s="1"/>
  <c r="W61" i="18"/>
  <c r="W73" i="18" s="1"/>
  <c r="P219" i="18"/>
  <c r="Y219" i="18" s="1"/>
  <c r="Y213" i="18"/>
  <c r="V213" i="18"/>
  <c r="N371" i="18"/>
  <c r="P369" i="18"/>
  <c r="N320" i="18"/>
  <c r="P302" i="18"/>
  <c r="V116" i="18"/>
  <c r="Z110" i="18"/>
  <c r="Z116" i="18" s="1"/>
  <c r="W110" i="18"/>
  <c r="W116" i="18" s="1"/>
  <c r="Z250" i="18"/>
  <c r="W250" i="18"/>
  <c r="Z238" i="18"/>
  <c r="V271" i="18"/>
  <c r="Z237" i="18"/>
  <c r="W237" i="18"/>
  <c r="P50" i="18"/>
  <c r="V48" i="18"/>
  <c r="Y48" i="18"/>
  <c r="Y50" i="18" s="1"/>
  <c r="N405" i="18" l="1"/>
  <c r="W271" i="18"/>
  <c r="P320" i="18"/>
  <c r="Y302" i="18"/>
  <c r="Y320" i="18" s="1"/>
  <c r="V302" i="18"/>
  <c r="P371" i="18"/>
  <c r="V369" i="18"/>
  <c r="Y369" i="18"/>
  <c r="Y371" i="18" s="1"/>
  <c r="Z48" i="18"/>
  <c r="Z50" i="18" s="1"/>
  <c r="W48" i="18"/>
  <c r="W50" i="18" s="1"/>
  <c r="V50" i="18"/>
  <c r="Z213" i="18"/>
  <c r="W213" i="18"/>
  <c r="W219" i="18" s="1"/>
  <c r="V219" i="18"/>
  <c r="Z219" i="18" s="1"/>
  <c r="Z271" i="18"/>
  <c r="P405" i="18" l="1"/>
  <c r="Y405" i="18"/>
  <c r="Z369" i="18"/>
  <c r="Z371" i="18" s="1"/>
  <c r="W369" i="18"/>
  <c r="W371" i="18" s="1"/>
  <c r="V371" i="18"/>
  <c r="V320" i="18"/>
  <c r="Z302" i="18"/>
  <c r="Z320" i="18" s="1"/>
  <c r="W302" i="18"/>
  <c r="W407" i="18" s="1"/>
  <c r="W320" i="18" l="1"/>
  <c r="W409" i="18"/>
  <c r="V402" i="18" l="1"/>
  <c r="V405" i="18" s="1"/>
  <c r="Y406" i="18" s="1"/>
  <c r="Z402" i="18"/>
  <c r="Z405" i="18" s="1"/>
  <c r="W402" i="18"/>
  <c r="W405" i="18" s="1"/>
  <c r="W411" i="18" s="1"/>
  <c r="W414" i="18" s="1"/>
</calcChain>
</file>

<file path=xl/sharedStrings.xml><?xml version="1.0" encoding="utf-8"?>
<sst xmlns="http://schemas.openxmlformats.org/spreadsheetml/2006/main" count="1591" uniqueCount="677">
  <si>
    <t>EZEQUIEL ARAIZA VICENCIO</t>
  </si>
  <si>
    <t>JUAN MANUEL RODRIGUEZ SANTANA</t>
  </si>
  <si>
    <t>LOURDES CURIEL FREGOSO</t>
  </si>
  <si>
    <t>LUZ MARIA GORDIAN GONZALEZ</t>
  </si>
  <si>
    <t>JUAN GIRALDO SANCHEZ GOMEZ</t>
  </si>
  <si>
    <t>HECTOR PEREZ GOMEZ</t>
  </si>
  <si>
    <t>LUIS ALBERTO PEREZ OLEA</t>
  </si>
  <si>
    <t>EDGAR GOMEZ BAÑUELOS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</si>
  <si>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</si>
  <si>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</si>
  <si>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</si>
  <si>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</si>
  <si>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</si>
  <si>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</si>
  <si>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JOSE SALVADOR DURAN ALONSO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</si>
  <si>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</si>
  <si>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</si>
  <si>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</si>
  <si>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</si>
  <si>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</si>
  <si>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</si>
  <si>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</si>
  <si>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</si>
  <si>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JUAN DE DIOS VAZQUEZ ALFEREZ</t>
  </si>
  <si>
    <t>LORENZO LOPEZ LOPEZ</t>
  </si>
  <si>
    <t>IRIS ADRIANA CRUZ JOYA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</si>
  <si>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</si>
  <si>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</si>
  <si>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</si>
  <si>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</si>
  <si>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</si>
  <si>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</si>
  <si>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LAUREANO JOYA RAMOS</t>
  </si>
  <si>
    <t>FRANCISCO JAVIER CASTILLON RODRIGUEZ</t>
  </si>
  <si>
    <t>ALFREDO SOLIS</t>
  </si>
  <si>
    <t>RODRIGO BRAVO NUÑEZ</t>
  </si>
  <si>
    <t>EVER PEREZ GOMEZ</t>
  </si>
  <si>
    <t>MARCELINO ARAIZA RODRIGUEZ</t>
  </si>
  <si>
    <t>CARLOS ARAIZA GONZALEZ</t>
  </si>
  <si>
    <t>EZEQUIEL ARAIZA GONZALEZ</t>
  </si>
  <si>
    <t>MARCO ANTONIO GONZALEZ HARO</t>
  </si>
  <si>
    <t>JOSE HERMILO CRUZ SANCHEZ</t>
  </si>
  <si>
    <t>RAUL ANTONIO CARDENAS IBARRA</t>
  </si>
  <si>
    <t>LUIS SOLIS BRAVO</t>
  </si>
  <si>
    <t>JOAQUIN SOLIS MARTINEZ</t>
  </si>
  <si>
    <t>ONOFRE PLACITO GORDIAN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</si>
  <si>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</si>
  <si>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</si>
  <si>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</si>
  <si>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</si>
  <si>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</si>
  <si>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</si>
  <si>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</si>
  <si>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</si>
  <si>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HECTOR RANGEL CRUZ CRUZ</t>
  </si>
  <si>
    <t>SERGIO ALEJANDRO IBARRA DELGADO</t>
  </si>
  <si>
    <t>RODIMIRO ISORDIA ZEPEDA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</si>
  <si>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</si>
  <si>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</si>
  <si>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</si>
  <si>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</si>
  <si>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</si>
  <si>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</si>
  <si>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</si>
  <si>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</si>
  <si>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</si>
  <si>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</si>
  <si>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</si>
  <si>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</si>
  <si>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</si>
  <si>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</si>
  <si>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LUIS RAMON RODRIGUEZ X</t>
  </si>
  <si>
    <t>OTROS DESCUENTOS</t>
  </si>
  <si>
    <t>RAFAEL RIOS RAYA</t>
  </si>
  <si>
    <t>TIEMPO EXTRA</t>
  </si>
  <si>
    <t>RUBEN PLACITO JOYA</t>
  </si>
  <si>
    <t>LUIS ANTONIO  HERNANDEZ JOYA</t>
  </si>
  <si>
    <t>PAJR6103115N3</t>
  </si>
  <si>
    <t>CIMJ7202084FA</t>
  </si>
  <si>
    <t>FOCM820828EF3</t>
  </si>
  <si>
    <t>LEAS680707MV7</t>
  </si>
  <si>
    <t>LODS811102195</t>
  </si>
  <si>
    <t>GUPF6808211P3</t>
  </si>
  <si>
    <t>CALJ700725BS1</t>
  </si>
  <si>
    <t>PEGL560924MF5</t>
  </si>
  <si>
    <t>PEGH630729QQ2</t>
  </si>
  <si>
    <t>NURJ781211DW1</t>
  </si>
  <si>
    <t>SOVE540316BT6</t>
  </si>
  <si>
    <t>IARF460824D38</t>
  </si>
  <si>
    <t>VAAJ580308SH6</t>
  </si>
  <si>
    <t>LOLL661130E61</t>
  </si>
  <si>
    <t>CUJI8503098Z9</t>
  </si>
  <si>
    <t>DUAS750806LGA</t>
  </si>
  <si>
    <t>ROLU681127BK5</t>
  </si>
  <si>
    <t>GOGA660830TB6</t>
  </si>
  <si>
    <t>CAGX650729TI0</t>
  </si>
  <si>
    <t>TARC660511B93</t>
  </si>
  <si>
    <t>AAVE881010QH7</t>
  </si>
  <si>
    <t>AURM790313N23</t>
  </si>
  <si>
    <t>GOGL750630V94</t>
  </si>
  <si>
    <t>BATI910422I93</t>
  </si>
  <si>
    <t>GOAN7001111P9</t>
  </si>
  <si>
    <t>CARH820415C91</t>
  </si>
  <si>
    <t>JORL620820294</t>
  </si>
  <si>
    <t>CARF750630IF7</t>
  </si>
  <si>
    <t>SOAL550112565</t>
  </si>
  <si>
    <t>BANR570313TE6</t>
  </si>
  <si>
    <t>PEGE580930H48</t>
  </si>
  <si>
    <t>AARM501130EL0</t>
  </si>
  <si>
    <t>GAMM670107NL0</t>
  </si>
  <si>
    <t>AAGC621104CNA</t>
  </si>
  <si>
    <t>AAGE470410AE3</t>
  </si>
  <si>
    <t>CAGX740908RQ0</t>
  </si>
  <si>
    <t>GOHM7208183M1</t>
  </si>
  <si>
    <t>CUSH700718JJ0</t>
  </si>
  <si>
    <t>CAIR880714AFA</t>
  </si>
  <si>
    <t>SAGJ7608286C5</t>
  </si>
  <si>
    <t>SOBL370825NY1</t>
  </si>
  <si>
    <t>SOMJ720816CW8</t>
  </si>
  <si>
    <t>FOLL730526GS6</t>
  </si>
  <si>
    <t>JAAA7411015Q1</t>
  </si>
  <si>
    <t>GOBE800323VB2</t>
  </si>
  <si>
    <t>SERG750421T34</t>
  </si>
  <si>
    <t>PAGO6207033N4</t>
  </si>
  <si>
    <t>PAGM550207F34</t>
  </si>
  <si>
    <t>AICJ8107108C4</t>
  </si>
  <si>
    <t>ROGF611102EG8</t>
  </si>
  <si>
    <t>GOAA480803IJ5</t>
  </si>
  <si>
    <t>PAJA7103269PA</t>
  </si>
  <si>
    <t>CARO620420VF6</t>
  </si>
  <si>
    <t>CARN581010418</t>
  </si>
  <si>
    <t>IARR531122IY7</t>
  </si>
  <si>
    <t>GOFA370729MV6</t>
  </si>
  <si>
    <t>RODJ580130MS3</t>
  </si>
  <si>
    <t>BEIF801207ND7</t>
  </si>
  <si>
    <t>GUMS530627UA7</t>
  </si>
  <si>
    <t>CUCH810106M65</t>
  </si>
  <si>
    <t>IADS820121KG3</t>
  </si>
  <si>
    <t>RESL871213BA9</t>
  </si>
  <si>
    <t>IOZR490525SD5</t>
  </si>
  <si>
    <t>DIGC560310650</t>
  </si>
  <si>
    <t>ROJR6212109X0</t>
  </si>
  <si>
    <t>RIRR730429ME0</t>
  </si>
  <si>
    <t>RFC</t>
  </si>
  <si>
    <t>ROAH900807JE2</t>
  </si>
  <si>
    <t>CUGD680126BT4</t>
  </si>
  <si>
    <t>OMAR DE JESUS GARCIA</t>
  </si>
  <si>
    <t>RAMIRO JOYA JOYA</t>
  </si>
  <si>
    <t>PEOL760708VX5</t>
  </si>
  <si>
    <t>AECA630820EP6</t>
  </si>
  <si>
    <t>SIQJ7306301D7</t>
  </si>
  <si>
    <t>JOJR7106032W5</t>
  </si>
  <si>
    <t>PECM8906228H8</t>
  </si>
  <si>
    <t>JOHN ALEJANDRO ROMERO CHAVEZ</t>
  </si>
  <si>
    <t>ROCJ840411PK2</t>
  </si>
  <si>
    <t>SUELDO BRUTO</t>
  </si>
  <si>
    <t>SUELDO A PERSIBIR</t>
  </si>
  <si>
    <t>PRESTAMO PERSONAL</t>
  </si>
  <si>
    <t>JEG0820323GZ0</t>
  </si>
  <si>
    <t>JESSICA MOLINA FARIAS</t>
  </si>
  <si>
    <t>MOFJ811002R96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</si>
  <si>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</si>
  <si>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</si>
  <si>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</si>
  <si>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</si>
  <si>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</si>
  <si>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</si>
  <si>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</si>
  <si>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</si>
  <si>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</si>
  <si>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</si>
  <si>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</si>
  <si>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</si>
  <si>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</si>
  <si>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</si>
  <si>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</si>
  <si>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</si>
  <si>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</si>
  <si>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</si>
  <si>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</si>
  <si>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</si>
  <si>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</si>
  <si>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</si>
  <si>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</si>
  <si>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</si>
  <si>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</si>
  <si>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</si>
  <si>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</si>
  <si>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</si>
  <si>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</si>
  <si>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</si>
  <si>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</si>
  <si>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</si>
  <si>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</si>
  <si>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JORGE ARMANDO BAÑUELOS CASTILLON</t>
  </si>
  <si>
    <t>DANIEL DE JESUS CARDENAS GARCIA</t>
  </si>
  <si>
    <t>NATALIA ZEPEDA GONZALEZ</t>
  </si>
  <si>
    <t>TOTALES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</si>
  <si>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</si>
  <si>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</si>
  <si>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</si>
  <si>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</si>
  <si>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</si>
  <si>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SANTOS ADRIANA PIÑA BERNAL</t>
  </si>
  <si>
    <t>JESUS DANIEL VELASCO SANTANA</t>
  </si>
  <si>
    <t>ERIK MEJIA SERRANO</t>
  </si>
  <si>
    <t>RAUL VICENTE GUEVARA</t>
  </si>
  <si>
    <t>CUFL870103848</t>
  </si>
  <si>
    <t>CAGL930504</t>
  </si>
  <si>
    <t>ROSJ880512HTO</t>
  </si>
  <si>
    <t>RODC730323QC7</t>
  </si>
  <si>
    <t>ADRIANA ARACELI CARDENAS GARCIA</t>
  </si>
  <si>
    <t>YOALLI EHECATL ESCALANTE GUZMAN</t>
  </si>
  <si>
    <t>J. CARLOS RUBIO CARRILLO</t>
  </si>
  <si>
    <t>JOSE LUIS SOLIS RODRIGUEZ</t>
  </si>
  <si>
    <t>JEFE DE EGRESOS</t>
  </si>
  <si>
    <t>JEFE DE COMUNICACIÓN SOCIAL</t>
  </si>
  <si>
    <t>OMAR NEYL MONCAYO GARCIA</t>
  </si>
  <si>
    <t>JEFE DE ALMACEN</t>
  </si>
  <si>
    <t>JUAN CARLOS VENEGAS CASTILLON</t>
  </si>
  <si>
    <t>SAIRA ADRIANA BRAVO RODRIGUEZ</t>
  </si>
  <si>
    <t>TAPA890404JIS</t>
  </si>
  <si>
    <t>GOGM620621JF0</t>
  </si>
  <si>
    <t>IACE880212KK4</t>
  </si>
  <si>
    <t>BARS9104078M8</t>
  </si>
  <si>
    <t>RUCJ820729386</t>
  </si>
  <si>
    <t>ZEGN910621RY7</t>
  </si>
  <si>
    <t>SUPERVISOR DE ASEO PUBLICO</t>
  </si>
  <si>
    <t>VESJ8107057L0</t>
  </si>
  <si>
    <t>MARIO EDUARDO VILLALOBOS GORDIAN</t>
  </si>
  <si>
    <t>VIGM900301A64</t>
  </si>
  <si>
    <t>PAAI890608776</t>
  </si>
  <si>
    <t>MOGO780309UM1</t>
  </si>
  <si>
    <t>HECTOR SAUL CRUZ IBARRA</t>
  </si>
  <si>
    <t>CUIH810606254</t>
  </si>
  <si>
    <t>JORGE CHINA MATA</t>
  </si>
  <si>
    <t>ANGELA ISABEL SILVA GRIJALVA</t>
  </si>
  <si>
    <t>SIGA941210QQ3</t>
  </si>
  <si>
    <t>HEAA8012024J0</t>
  </si>
  <si>
    <t>SORL821113TW5</t>
  </si>
  <si>
    <t>VECJ710603T74</t>
  </si>
  <si>
    <t>VIGR670727AY0</t>
  </si>
  <si>
    <t>RIGOBERTO NIÑO OLIVERA</t>
  </si>
  <si>
    <t>NIOR8901109NO</t>
  </si>
  <si>
    <t>TOMAS SOTO ALVAREZ</t>
  </si>
  <si>
    <t>MARIO ALEJANDRO AGUIRRE ROMERO</t>
  </si>
  <si>
    <t>CONTRALOR</t>
  </si>
  <si>
    <t>CAGD830530KP1</t>
  </si>
  <si>
    <t>BACJ630520E46</t>
  </si>
  <si>
    <t>AAIM7205101R6</t>
  </si>
  <si>
    <t>EAGY821122E79</t>
  </si>
  <si>
    <t>HUGO OSWALDO ROBLES ARAIZA</t>
  </si>
  <si>
    <t>SILVIA SINTA JIMENEZ</t>
  </si>
  <si>
    <t>SIJS830216EH4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</si>
  <si>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</si>
  <si>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</si>
  <si>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</si>
  <si>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</si>
  <si>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</si>
  <si>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</si>
  <si>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JEFE DE COMPRAS</t>
  </si>
  <si>
    <t>OFICIAL MAYOR ADMINISTRATIVO</t>
  </si>
  <si>
    <t>INSPECTOR GANADERIA</t>
  </si>
  <si>
    <t>MEDICO MUNICIPAL</t>
  </si>
  <si>
    <t>AGENTE OPERATIVO  A</t>
  </si>
  <si>
    <t>GARA721102SS9</t>
  </si>
  <si>
    <t>RASC900217K7A</t>
  </si>
  <si>
    <t>ANTOANI  ISAEL HERNANDEZ ARAIZA</t>
  </si>
  <si>
    <t>GILBERTO DIAZ JURADO</t>
  </si>
  <si>
    <t>DIJG960417E32</t>
  </si>
  <si>
    <t>HECTOR ROMERO VILLARUEL</t>
  </si>
  <si>
    <t>ROVH800226471</t>
  </si>
  <si>
    <t>GABRIELA LORENZO GUZMAN</t>
  </si>
  <si>
    <t>LOGG901121H18</t>
  </si>
  <si>
    <t>DIRI8407159L9</t>
  </si>
  <si>
    <t>JEFE DE CATASTRO</t>
  </si>
  <si>
    <t>CINTHIA GABRIELA HERRERA RODRIGUEZ</t>
  </si>
  <si>
    <t>HERC970924P69</t>
  </si>
  <si>
    <t>TARIFAS Y TABLAS PARA SUELDOS Y SALARIOS VIGENTES A PARTIR DEL</t>
  </si>
  <si>
    <t>TABLA DEL SUBSIDIO PARA EL EMPLEO MENSUAL ENERO-DICIEMBRE 2016</t>
  </si>
  <si>
    <t>01 DE ENERO DE 2016</t>
  </si>
  <si>
    <t>Publicadas en el DOF el 05 de Enero de 2016</t>
  </si>
  <si>
    <t>MONTO DE INGRESOS QUE SIRVEN</t>
  </si>
  <si>
    <t>TARIFA DEL IMPUESTO QUINCENAL 2016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</si>
  <si>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</si>
  <si>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</si>
  <si>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</si>
  <si>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</si>
  <si>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</si>
  <si>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</si>
  <si>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</si>
  <si>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</si>
  <si>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</si>
  <si>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</si>
  <si>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</si>
  <si>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</si>
  <si>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</si>
  <si>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</si>
  <si>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</si>
  <si>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</si>
  <si>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</si>
  <si>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</si>
  <si>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</si>
  <si>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</si>
  <si>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</si>
  <si>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</si>
  <si>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BEVM730804E61</t>
  </si>
  <si>
    <t>MIGUEL BECERRA VALDEZ</t>
  </si>
  <si>
    <t>CUGS850702FV0</t>
  </si>
  <si>
    <t>DIRECTOR DE CULTURA</t>
  </si>
  <si>
    <t>LODR750322KP7</t>
  </si>
  <si>
    <t>DIRECTOR DE OBRAS PUBLICAS</t>
  </si>
  <si>
    <t>AUXILIAR DE PREV. SOCIAL DEL DELITO Y VINCULACION CIUDADANA</t>
  </si>
  <si>
    <t>DANIELA CASTILLO AVENDAÑO</t>
  </si>
  <si>
    <t>CAAD971220620</t>
  </si>
  <si>
    <t>ASISTENTE</t>
  </si>
  <si>
    <t>JOSSUE ISAAC CORONA GUDIÑO</t>
  </si>
  <si>
    <t>COGJ850421NP7</t>
  </si>
  <si>
    <t>BACS880206CB9</t>
  </si>
  <si>
    <t>EVELIA PIÑA BERNAL</t>
  </si>
  <si>
    <t>MAURA LETICIA QUINTERO ESPINOZA</t>
  </si>
  <si>
    <t>QUEM700115229</t>
  </si>
  <si>
    <t>MARGARITA ZARAGOZA PEREZ</t>
  </si>
  <si>
    <t>ZAPM951025VC3</t>
  </si>
  <si>
    <t>PIBE851209P51</t>
  </si>
  <si>
    <t>JORGE ALFREDO ROMERO  HERRERA</t>
  </si>
  <si>
    <t>ROHA890915372</t>
  </si>
  <si>
    <t>EDGAR GARCIA JOYA</t>
  </si>
  <si>
    <t>GAJE630517DE6</t>
  </si>
  <si>
    <t>JOSE NEREO CRUZ LORENZO</t>
  </si>
  <si>
    <t>CULN610625P20</t>
  </si>
  <si>
    <t>ADILENE MARIBEL GUZMAN RODRIGUEZ</t>
  </si>
  <si>
    <t>GURA8807032B4</t>
  </si>
  <si>
    <t>RAFAEL ESPARZA RUIZ</t>
  </si>
  <si>
    <t>EARR7704162S7</t>
  </si>
  <si>
    <t>IRAK DAGOBERTO DIAZ RAMOS</t>
  </si>
  <si>
    <t>BENIGNO RAMOS GUERRERO</t>
  </si>
  <si>
    <t>RAGB810213PD7</t>
  </si>
  <si>
    <t>LUIS RODRIGO NUÑEZ GOMEZ</t>
  </si>
  <si>
    <t>NUGL7510225J5</t>
  </si>
  <si>
    <t>ROAE520806HL4</t>
  </si>
  <si>
    <t>EUTIQUIO  RODRIGUEZ ANDRADE</t>
  </si>
  <si>
    <t>SECRETARIA "B"</t>
  </si>
  <si>
    <t>PRESIDENTE</t>
  </si>
  <si>
    <t>PRISCILIANO RAMIREZ GORDIAN</t>
  </si>
  <si>
    <t>RAGP831025KL7</t>
  </si>
  <si>
    <t>GABRIEL CAMPOS PEÑA</t>
  </si>
  <si>
    <t>CAPG770711MQ0</t>
  </si>
  <si>
    <t>FIDENCIO RIVAS RIVAS</t>
  </si>
  <si>
    <t>RIRF780501MX9</t>
  </si>
  <si>
    <t>KAREN ALEJANDRA VENTURA LOPEZ ARAIZA</t>
  </si>
  <si>
    <t>LOAK720702RR3</t>
  </si>
  <si>
    <t>ELENO YAMELIK ARAIZA NOYOLA</t>
  </si>
  <si>
    <t>AANE870811QN2</t>
  </si>
  <si>
    <t>MARIA GRACIELA OROZCO BELMAN</t>
  </si>
  <si>
    <t>MANUEL RAMOS CASTILLON</t>
  </si>
  <si>
    <t>MARIA LUISA GUERRA JOYA</t>
  </si>
  <si>
    <t>EVANGELINA JOYA RODRIGUEZ</t>
  </si>
  <si>
    <t>LOURDES OLIVERA MORENO</t>
  </si>
  <si>
    <t>NOE RODRIGUEZ RAMOS</t>
  </si>
  <si>
    <t>CELESTE LORENZO LORENZO</t>
  </si>
  <si>
    <t>JEFE DE JURIDICO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</si>
  <si>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</si>
  <si>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</si>
  <si>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</si>
  <si>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</si>
  <si>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</si>
  <si>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</si>
  <si>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GILDARDO JACOBO NUÑEZ</t>
  </si>
  <si>
    <t>DIRECTOR DE SERVICIOS PUBLICOS</t>
  </si>
  <si>
    <t>JEFE DE MODULO DE MAQUINARIA</t>
  </si>
  <si>
    <t>LUIS ALBERTO CARDENAS REYNOSO</t>
  </si>
  <si>
    <t>SUBDIRECTOR DE OBRAS PUBLICAS</t>
  </si>
  <si>
    <t>DIRECTOR DE PROGRAMAS ESTRATEGICOS</t>
  </si>
  <si>
    <t>KEVIN URIEL GOMEZ GORDIAN</t>
  </si>
  <si>
    <t>GOGK900818N28</t>
  </si>
  <si>
    <t>SECRETARIO PARTICULAR A</t>
  </si>
  <si>
    <t>SECRETARIO PARTICULAR B</t>
  </si>
  <si>
    <t>MODULO DE MAQUINARIA</t>
  </si>
  <si>
    <t>BESA8312142P0</t>
  </si>
  <si>
    <t>MARCOS RAMON OCAMPO QUINTERO</t>
  </si>
  <si>
    <t>OAQM8402027B4</t>
  </si>
  <si>
    <t>REGIDORES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</si>
  <si>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</si>
  <si>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</si>
  <si>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</si>
  <si>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</si>
  <si>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</si>
  <si>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</si>
  <si>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</si>
  <si>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</si>
  <si>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</si>
  <si>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</si>
  <si>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</si>
  <si>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</si>
  <si>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</si>
  <si>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</si>
  <si>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</si>
  <si>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PROGRAMAS ESTRATEGICOS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</si>
  <si>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</si>
  <si>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</si>
  <si>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</si>
  <si>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</si>
  <si>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</si>
  <si>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</si>
  <si>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</si>
  <si>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</si>
  <si>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</si>
  <si>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>CUJA881112BT8</t>
  </si>
  <si>
    <t xml:space="preserve">MANTENIMIENTO  </t>
  </si>
  <si>
    <t>BACM8008014W1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</si>
  <si>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</si>
  <si>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</si>
  <si>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</si>
  <si>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</si>
  <si>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</si>
  <si>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</si>
  <si>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</si>
  <si>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</si>
  <si>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CARL870407137</t>
  </si>
  <si>
    <t>JANG9110117B7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</si>
  <si>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</si>
  <si>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</si>
  <si>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</si>
  <si>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</si>
  <si>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</si>
  <si>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RORN600523178</t>
  </si>
  <si>
    <t>GUJL631112V43</t>
  </si>
  <si>
    <t>JORE810901V89</t>
  </si>
  <si>
    <t>OOBG830626FG6</t>
  </si>
  <si>
    <t>LOLC741125NL4</t>
  </si>
  <si>
    <t>OIML691230DPA</t>
  </si>
  <si>
    <t>LOCA741001GT4</t>
  </si>
  <si>
    <t>RACM720907IS9</t>
  </si>
  <si>
    <t>JESUS ROMERO PEREZ</t>
  </si>
  <si>
    <t>ROPJ561228</t>
  </si>
  <si>
    <t>VERONICA JOYA RODRIGUEZ</t>
  </si>
  <si>
    <t>ISMAEL GARCIA JOYA</t>
  </si>
  <si>
    <t>GAJI640214KX4</t>
  </si>
  <si>
    <t>JOSE ANGEL LORENZO CASTILLON</t>
  </si>
  <si>
    <t>ARNOLDO CAMPOS VALDOVINOS</t>
  </si>
  <si>
    <t>ENCARGADO DE LA DIRECCION DE SEGURIDAD PUBLICA</t>
  </si>
  <si>
    <t>GILBERTO RODRIGUEZ URRUTIA</t>
  </si>
  <si>
    <t>ENCARGADO DE LA UNIDAD DE REHABILITACION MUNICIPAL</t>
  </si>
  <si>
    <t>ROUG9110194V8</t>
  </si>
  <si>
    <t>AGENTE OPERATIVO A</t>
  </si>
  <si>
    <t>MUNICIPIO DE CABO CORRIENTES JALISCO</t>
  </si>
  <si>
    <t>ADMINISTRACION  2018 - 2021</t>
  </si>
  <si>
    <t>PLAZA  CON PERMISO</t>
  </si>
  <si>
    <t xml:space="preserve">ADMINISTRADOR DE RASTRO </t>
  </si>
  <si>
    <t>SECRETARO TECNICO</t>
  </si>
  <si>
    <t>CHOFER DE PRESIDENCIA</t>
  </si>
  <si>
    <t>CAJA TALPENSE</t>
  </si>
  <si>
    <t>RICARDO JULIAN MACEDO BAUMGARTEN</t>
  </si>
  <si>
    <t>MABR520201F9A</t>
  </si>
  <si>
    <t>EDSON OSVALDO CASITLLON MORA</t>
  </si>
  <si>
    <t>CAME9403016X1</t>
  </si>
  <si>
    <t>JEFE DE CONTABILIDAD</t>
  </si>
  <si>
    <t>PLAZA VACANTE</t>
  </si>
  <si>
    <t>OSCAR CASTILLON ROMERO</t>
  </si>
  <si>
    <t>CARO540923R74</t>
  </si>
  <si>
    <t>LINDA CRYSTAL ASENCIO</t>
  </si>
  <si>
    <t>AELI840512C69</t>
  </si>
  <si>
    <t>ISMAEL CASTRO ALONSO</t>
  </si>
  <si>
    <t>CAAI830709UV5</t>
  </si>
  <si>
    <t>ALEXIS IVAN RODRIGUEZ ORTEGA</t>
  </si>
  <si>
    <t>ROOA920225R38</t>
  </si>
  <si>
    <t>LUIS FERNANDO GARCIA COVARRUBIAS</t>
  </si>
  <si>
    <t>GACL850120GY8</t>
  </si>
  <si>
    <t>JESUS JOYA DAVILA</t>
  </si>
  <si>
    <t>JODJ840903BN4</t>
  </si>
  <si>
    <t>PAGO POR PENSION ALIMENTICIA</t>
  </si>
  <si>
    <t>TOTAL A DISPERSAR</t>
  </si>
  <si>
    <t>CINTHIA NAZARET AMARAL ESQUIVEL</t>
  </si>
  <si>
    <t>AAEC920112FB4</t>
  </si>
  <si>
    <t>SOGA860128IT8</t>
  </si>
  <si>
    <t>TOHE9202105V7</t>
  </si>
  <si>
    <t>FRANCISCO JAVIER LOPEZ ESPINOZA</t>
  </si>
  <si>
    <t>LOEF890927SR9</t>
  </si>
  <si>
    <t>MERCEDES GONZALEZ HERNANDEZ</t>
  </si>
  <si>
    <t>PARAMEDICO</t>
  </si>
  <si>
    <t>GOHM850316632</t>
  </si>
  <si>
    <t>JENIFFER ZAMANTHA ARAIZA CURIEL</t>
  </si>
  <si>
    <t>AACJ9102148C6</t>
  </si>
  <si>
    <t>JOSE MARIA SOLIS RODRIGUEZ</t>
  </si>
  <si>
    <t>SUB-DIRECTOR DE SERVICIOS PUBLICOS MUNICPALES</t>
  </si>
  <si>
    <t>SORM750409532</t>
  </si>
  <si>
    <t>DIRECTOR DE TURISMO</t>
  </si>
  <si>
    <t>DIRECTOR DE LA UNIDAD DE TRANSPARENCIA Y OFICIALIA DE PARTES</t>
  </si>
  <si>
    <t>SUB-DIRECTOR  DE PROTECCION CIVIL</t>
  </si>
  <si>
    <t>ABIMAEL CAMPOS RAMOS</t>
  </si>
  <si>
    <t>CARA980619QN1</t>
  </si>
  <si>
    <t>ALBERTO HERNANDEZ DE LA CRUZ</t>
  </si>
  <si>
    <t>HECA810224L79</t>
  </si>
  <si>
    <t>SERGIO SOTO ALVAREZ</t>
  </si>
  <si>
    <t>SOAS980719FZ8</t>
  </si>
  <si>
    <t>ALBERTO SAHADE CORTES</t>
  </si>
  <si>
    <t>ASESOR JURIDICO</t>
  </si>
  <si>
    <t>SACA760620455</t>
  </si>
  <si>
    <t>J. JESUS CASTAÑEDA PEÑA</t>
  </si>
  <si>
    <t>CAPJ4506261B1</t>
  </si>
  <si>
    <t>ROGELIO JOYA CRUZ</t>
  </si>
  <si>
    <t>JOCR921203LH4</t>
  </si>
  <si>
    <t>JAVIER FABIAN VENTURA</t>
  </si>
  <si>
    <t>FAVJ730121551</t>
  </si>
  <si>
    <t>LILLIA HAYDEE MUÑOZ BECERRA</t>
  </si>
  <si>
    <t>DIRECTORA DE CADI</t>
  </si>
  <si>
    <t>MUBL8010088P1</t>
  </si>
  <si>
    <t>CENTRO DE APRENDIZAJE Y DESARROLLO INFANTIL</t>
  </si>
  <si>
    <t>SECRETARO TECNICO DE LA COMUR</t>
  </si>
  <si>
    <t>IRIS MARIANA AMARAL HERNANDEZ</t>
  </si>
  <si>
    <t>AAHI94O428Q2A</t>
  </si>
  <si>
    <t>SUSANA DANIELA RENTERIA</t>
  </si>
  <si>
    <t>OSVALDO MARISCAL AMARAL</t>
  </si>
  <si>
    <t>MAAO990306279</t>
  </si>
  <si>
    <t>MESE9106172D8</t>
  </si>
  <si>
    <t>RESU780909AN9</t>
  </si>
  <si>
    <t>VICTOR GARCIA HERNANDEZ</t>
  </si>
  <si>
    <t>GAHV6807016A8</t>
  </si>
  <si>
    <t>ENGARGADO DEL AGUA POTABLE</t>
  </si>
  <si>
    <t>ELIAS NOE SOTO TAPIA</t>
  </si>
  <si>
    <t>JAVIER MOISES SOLIS IBARRA</t>
  </si>
  <si>
    <t>HELADIO RODRIGUEZ GONZALEZ</t>
  </si>
  <si>
    <t>ROGH800529JZ0</t>
  </si>
  <si>
    <t>SAORI BENITEZ RENTERIA</t>
  </si>
  <si>
    <t>BERS9509058EA</t>
  </si>
  <si>
    <t>SOTE810906KP2</t>
  </si>
  <si>
    <t>SOIJ811130D33</t>
  </si>
  <si>
    <t>ANA MARIA ULLOA MENDEZ</t>
  </si>
  <si>
    <t>UOMA721020T87</t>
  </si>
  <si>
    <t>ASESOR CONTABLE</t>
  </si>
  <si>
    <t xml:space="preserve"> </t>
  </si>
  <si>
    <t>LUIS DAVID VARGAS RODRIGUEZ</t>
  </si>
  <si>
    <t>ENCARGADO DEL INSTITUTO DE LA JUVENTUD</t>
  </si>
  <si>
    <t xml:space="preserve">JOSE DE JESUS DELGADO VALDEZ </t>
  </si>
  <si>
    <t>DEVJ560926CN2</t>
  </si>
  <si>
    <t>PIBS870417NA4</t>
  </si>
  <si>
    <t>VARL940901120</t>
  </si>
  <si>
    <t>ARIANA ERENDIRA BAÑUELOS GOMEZ</t>
  </si>
  <si>
    <t>BAGA880831RBA</t>
  </si>
  <si>
    <t>GILBERTO GOMEZ GORDIAN</t>
  </si>
  <si>
    <t>GOGG581005D39</t>
  </si>
  <si>
    <t>JOSE ALFREDO GALINDO VELTRAN</t>
  </si>
  <si>
    <t>GAVA001227359</t>
  </si>
  <si>
    <t>GADP960313K´5</t>
  </si>
  <si>
    <t>LUZ ADELA RODRIGUEZ CASTILLON</t>
  </si>
  <si>
    <t>ROCL9101294S4</t>
  </si>
  <si>
    <t>CINDY DANIARI GONZALEZ BETANCOURT</t>
  </si>
  <si>
    <t>GOBC920525EI6</t>
  </si>
  <si>
    <t>TOTAL DISPERSADO EN BANCO</t>
  </si>
  <si>
    <t>ROBERTO CARLOS GARCIA RODRIGUEZ</t>
  </si>
  <si>
    <t>GARR940720</t>
  </si>
  <si>
    <t>SALVADOR CHAVEZ GONZALEZ</t>
  </si>
  <si>
    <t>ENCARGADO DE AGUA POTABLE</t>
  </si>
  <si>
    <t>CAGS551117</t>
  </si>
  <si>
    <t>DIRECTOR DE INFORMATICA</t>
  </si>
  <si>
    <t>MARCO ANTONIO PEÑA GONZALEZ</t>
  </si>
  <si>
    <t>PEGM901006PD4</t>
  </si>
  <si>
    <t>JEFE DE PROGRAMAS SOCIALES</t>
  </si>
  <si>
    <t>FELICITAS MANRIQUEZ NAVA</t>
  </si>
  <si>
    <t>MANF780622965</t>
  </si>
  <si>
    <t>CLAUDIA YANELY RODRIGUEZ MENDOZA</t>
  </si>
  <si>
    <t>ROMC8609011C1</t>
  </si>
  <si>
    <t>SECRETARIA B</t>
  </si>
  <si>
    <t>DIRECTORA DE EDUCACION</t>
  </si>
  <si>
    <t>JOSE IGNACIO AGUIRRE HERNANDEZ</t>
  </si>
  <si>
    <t>AUHI880315GZ9</t>
  </si>
  <si>
    <t>VABP971106</t>
  </si>
  <si>
    <t>SOAT870327S30</t>
  </si>
  <si>
    <t>PENSIONES Y/O JUBILACIONES</t>
  </si>
  <si>
    <t>DISEÑADOR</t>
  </si>
  <si>
    <t>INFORMATICA Y COMUNICACIÓN SOCIAL</t>
  </si>
  <si>
    <t>TOTAL EN CHEQUE</t>
  </si>
  <si>
    <t>PAGOS EN CHEQUE/ ADELANTO DE NOMINA</t>
  </si>
  <si>
    <t>GABRIEL IBARRA ROBLES</t>
  </si>
  <si>
    <t>IARG500619DJ2</t>
  </si>
  <si>
    <t>OPERADOR DE AMBULANCIA</t>
  </si>
  <si>
    <t>ENCARGADO DE BALLET TIUTL</t>
  </si>
  <si>
    <t>AUXILIAR DE BALLET TIUTL</t>
  </si>
  <si>
    <t>INSTRUCTOR DE MARIACHI</t>
  </si>
  <si>
    <t>INSTRUCTOR DE PINTURA</t>
  </si>
  <si>
    <t>INSTRUCTOR BALLET FOLCLORICO CABO CORRIENTES</t>
  </si>
  <si>
    <t>INSTRUCTOR DE BALLET FOLCLORICO YELAPA</t>
  </si>
  <si>
    <t>INSTRUCTOR ESCULTURA EN BARRO</t>
  </si>
  <si>
    <t>INSTRUCTOR ARTISTICO</t>
  </si>
  <si>
    <t>JUAN RAMON ARAIZA RIZO</t>
  </si>
  <si>
    <t>AARJ780106619</t>
  </si>
  <si>
    <t>SEGURIDAD PUBLICA</t>
  </si>
  <si>
    <t>CUENTA</t>
  </si>
  <si>
    <t>JOSE RAMIRO CASTILLON RODRIGUEZ</t>
  </si>
  <si>
    <t>SAVANNAH SANCHAY ROBLES RODRIGUEZ</t>
  </si>
  <si>
    <t>MAGDA VIANEY ESPINOSA AVILA</t>
  </si>
  <si>
    <t>SEGISMUNDO JOYA ESTRADA</t>
  </si>
  <si>
    <t>KARLA YESENIA CARDENAS AGUIRRE</t>
  </si>
  <si>
    <t>AUXILIAR ADMIINISTRATIVO</t>
  </si>
  <si>
    <t>MIGUEL ANGEL GARCIA MARISCAL</t>
  </si>
  <si>
    <t>IRVING ARTURO PEREZ CASTELLON</t>
  </si>
  <si>
    <t>HECTOR JAVIER PLACITO JOYA</t>
  </si>
  <si>
    <t>AUXILIAR DE PROTECCION CIVIL</t>
  </si>
  <si>
    <t>TOMAS CASTILLON AGUIRRE</t>
  </si>
  <si>
    <t>CARR960902UH6</t>
  </si>
  <si>
    <t>GAMM900530UN1</t>
  </si>
  <si>
    <t>JOSE CORNELIO BARAJAS GUZMAN</t>
  </si>
  <si>
    <t>EIAM820512DTA</t>
  </si>
  <si>
    <t>CAAT710804RU1</t>
  </si>
  <si>
    <t>BAGC900811CR3</t>
  </si>
  <si>
    <t>PECI940803UV7</t>
  </si>
  <si>
    <t>PAJH7304069Q3</t>
  </si>
  <si>
    <t>JOES560501L90</t>
  </si>
  <si>
    <t>RORS970623I58</t>
  </si>
  <si>
    <t>SIGJ7505065Y9</t>
  </si>
  <si>
    <t>CAAK951016T62</t>
  </si>
  <si>
    <t>PERLA PAOLA VAZQUEZ BETANCOURT</t>
  </si>
  <si>
    <t>LUIS GILDARDO REYNOZO SALGADO</t>
  </si>
  <si>
    <t>NORMAN DANIEL GONZALEZ GORDIAN</t>
  </si>
  <si>
    <t>GOGD950321F42</t>
  </si>
  <si>
    <t>ALDO PAUL OCHOA GOMEZ</t>
  </si>
  <si>
    <t>OOGA801105</t>
  </si>
  <si>
    <t>PLAZA CON PERMISO</t>
  </si>
  <si>
    <t>PERSONAL ADMINISTRATIVO Y SEGURIDAD PUBLICA</t>
  </si>
  <si>
    <t>MONTO DE CHEQUE</t>
  </si>
  <si>
    <t>No.</t>
  </si>
  <si>
    <t>TOTAL</t>
  </si>
  <si>
    <t>PENSIONES ALIMENTICIAS</t>
  </si>
  <si>
    <t>GRACIELA RAMOS GONZALEZ</t>
  </si>
  <si>
    <t>ANNA LILIA VELTRAN BRAVO</t>
  </si>
  <si>
    <t>MARDIA STEFANY GONZALEZ MUNGUIA</t>
  </si>
  <si>
    <t>PERSONAL CON PAGO EN CHEQUE</t>
  </si>
  <si>
    <t>RELACION DE CHEQUES</t>
  </si>
  <si>
    <t>OSCAR ALEJANDRO ALCARAZ SERNA</t>
  </si>
  <si>
    <t>AASO880930VD9</t>
  </si>
  <si>
    <t>JESUS GABRIEL MORA SOLIS</t>
  </si>
  <si>
    <t>MOSJ010711LZ9</t>
  </si>
  <si>
    <t>CUENTA PUBLICA</t>
  </si>
  <si>
    <t>JOSE DE JESUS QUINTERO GOMEZ</t>
  </si>
  <si>
    <t>MIGUEL ANGEL PANTOJA ARIAS</t>
  </si>
  <si>
    <t>JUAN ANTONIO SALCEDO PADILLA</t>
  </si>
  <si>
    <t>MANTENIMIENTO A</t>
  </si>
  <si>
    <t>JEFE DE ELECTRICISTAS</t>
  </si>
  <si>
    <t>SAPJ800922HB9</t>
  </si>
  <si>
    <t>PAAM711224K47</t>
  </si>
  <si>
    <t>QUGJ930512TN2</t>
  </si>
  <si>
    <t>OBRAS PUBLICAS Y PLANEACION Y DESARROLLO URBANO</t>
  </si>
  <si>
    <t>DESARROLLO SOCIAL Y PARTICIPACION CIUDADANA</t>
  </si>
  <si>
    <t>SUBDIRECTOR DE DESARROLLO SOCIAL Y PARTICIPACION CIUDADANA</t>
  </si>
  <si>
    <t>DIRECTOR DE DESARROLLO SOCIAL Y PARTICIPACION CIUDADANA</t>
  </si>
  <si>
    <t>CHOFER A</t>
  </si>
  <si>
    <t>AGENTE  OPERATIVO</t>
  </si>
  <si>
    <t>AERD830626AZ8</t>
  </si>
  <si>
    <t>DANIEL ALONSO ARREOLA RIOS</t>
  </si>
  <si>
    <t>JUEZ MUNICIPAL</t>
  </si>
  <si>
    <t>SECRETARIO DE ACUERDOS</t>
  </si>
  <si>
    <t>NOTIFICADOR DE JUEZ MPAL.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</si>
  <si>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</si>
  <si>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</si>
  <si>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</si>
  <si>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</si>
  <si>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</si>
  <si>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</si>
  <si>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</si>
  <si>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</si>
  <si>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JOSE LUIS ROMERO AMARAL</t>
  </si>
  <si>
    <t>ROAL500826ME5</t>
  </si>
  <si>
    <t>JEFE DE PROMOCION ECONOMICA</t>
  </si>
  <si>
    <t>ROMM820528ULA</t>
  </si>
  <si>
    <t>MIGUEL TRINIDAD RODRIGUEZ MONTERO</t>
  </si>
  <si>
    <t>DIRECTOR DE DEPORTES</t>
  </si>
  <si>
    <t>SERGIO ALEJANDRO BARBOZA ROBLES</t>
  </si>
  <si>
    <t>BARS9808122N3</t>
  </si>
  <si>
    <t>JORV721205UHA</t>
  </si>
  <si>
    <t>JOSE ADAN SOTO GONZALEZ</t>
  </si>
  <si>
    <t>EUSEBIO LUNA FLORES</t>
  </si>
  <si>
    <t>LUFE6908174U1</t>
  </si>
  <si>
    <t>CAMP740512 K11</t>
  </si>
  <si>
    <t>PERIODO DEL 16 AL 31 DE AGOSTO DEL 2020</t>
  </si>
  <si>
    <t>PERMISO TEMPORAL</t>
  </si>
  <si>
    <t>PERIODO DEL 16 AL 31 DE AGOSTO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</si>
</sst>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8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0">
    <xf numFmtId="0" fontId="0" fillId="0" borderId="0" xfId="0"/>
    <xf numFmtId="0" fontId="8" fillId="3" borderId="0" xfId="0" applyNumberFormat="1" applyFont="1" applyFill="1" applyBorder="1" applyAlignment="1" applyProtection="1">
      <alignment horizontal="centerContinuous"/>
    </xf>
    <xf numFmtId="0" fontId="0" fillId="3" borderId="0" xfId="0" applyNumberFormat="1" applyFill="1" applyBorder="1" applyAlignment="1" applyProtection="1"/>
    <xf numFmtId="0" fontId="9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>
      <alignment horizontal="centerContinuous"/>
    </xf>
    <xf numFmtId="0" fontId="8" fillId="3" borderId="0" xfId="0" applyNumberFormat="1" applyFont="1" applyFill="1" applyBorder="1" applyAlignment="1" applyProtection="1"/>
    <xf numFmtId="0" fontId="11" fillId="3" borderId="0" xfId="0" applyNumberFormat="1" applyFont="1" applyFill="1" applyBorder="1" applyAlignment="1" applyProtection="1">
      <alignment horizontal="center"/>
    </xf>
    <xf numFmtId="43" fontId="9" fillId="3" borderId="0" xfId="1" applyFont="1" applyFill="1" applyBorder="1" applyAlignment="1" applyProtection="1"/>
    <xf numFmtId="10" fontId="9" fillId="3" borderId="0" xfId="0" applyNumberFormat="1" applyFont="1" applyFill="1" applyBorder="1" applyAlignment="1" applyProtection="1"/>
    <xf numFmtId="2" fontId="0" fillId="3" borderId="0" xfId="0" applyNumberFormat="1" applyFill="1" applyBorder="1" applyAlignment="1" applyProtection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43" fontId="7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3" fontId="7" fillId="0" borderId="6" xfId="0" applyNumberFormat="1" applyFont="1" applyFill="1" applyBorder="1" applyAlignment="1">
      <alignment vertical="center"/>
    </xf>
    <xf numFmtId="0" fontId="3" fillId="9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43" fontId="7" fillId="0" borderId="1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43" fontId="0" fillId="0" borderId="0" xfId="0" applyNumberFormat="1" applyFill="1" applyAlignment="1">
      <alignment vertical="center"/>
    </xf>
    <xf numFmtId="0" fontId="3" fillId="8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Alignment="1">
      <alignment horizontal="left" vertical="center"/>
    </xf>
    <xf numFmtId="0" fontId="18" fillId="4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/>
    </xf>
    <xf numFmtId="0" fontId="2" fillId="9" borderId="1" xfId="0" applyNumberFormat="1" applyFont="1" applyFill="1" applyBorder="1" applyAlignment="1">
      <alignment horizontal="left" vertical="center"/>
    </xf>
    <xf numFmtId="0" fontId="2" fillId="9" borderId="3" xfId="0" applyNumberFormat="1" applyFont="1" applyFill="1" applyBorder="1" applyAlignment="1">
      <alignment horizontal="left" vertical="center" wrapText="1"/>
    </xf>
    <xf numFmtId="0" fontId="2" fillId="8" borderId="1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3" fillId="8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44" fontId="3" fillId="2" borderId="1" xfId="2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0" fontId="2" fillId="2" borderId="0" xfId="2" applyNumberFormat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43" fontId="4" fillId="2" borderId="0" xfId="0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9" borderId="1" xfId="2" applyNumberFormat="1" applyFont="1" applyFill="1" applyBorder="1" applyAlignment="1">
      <alignment horizontal="center" vertical="center"/>
    </xf>
    <xf numFmtId="43" fontId="3" fillId="9" borderId="1" xfId="1" applyFont="1" applyFill="1" applyBorder="1" applyAlignment="1">
      <alignment horizontal="center" vertical="center"/>
    </xf>
    <xf numFmtId="43" fontId="5" fillId="9" borderId="1" xfId="1" applyFont="1" applyFill="1" applyBorder="1" applyAlignment="1">
      <alignment horizontal="center" vertical="center"/>
    </xf>
    <xf numFmtId="43" fontId="3" fillId="9" borderId="1" xfId="0" applyNumberFormat="1" applyFont="1" applyFill="1" applyBorder="1" applyAlignment="1">
      <alignment horizontal="center" vertical="center"/>
    </xf>
    <xf numFmtId="10" fontId="3" fillId="9" borderId="1" xfId="0" applyNumberFormat="1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7" fillId="0" borderId="0" xfId="0" applyNumberFormat="1" applyFont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0" xfId="0" applyNumberFormat="1" applyFont="1" applyBorder="1" applyAlignment="1">
      <alignment horizontal="center" vertical="center"/>
    </xf>
    <xf numFmtId="0" fontId="2" fillId="8" borderId="1" xfId="2" applyNumberFormat="1" applyFont="1" applyFill="1" applyBorder="1" applyAlignment="1">
      <alignment horizontal="center" vertical="center"/>
    </xf>
    <xf numFmtId="43" fontId="3" fillId="8" borderId="1" xfId="1" applyFont="1" applyFill="1" applyBorder="1" applyAlignment="1">
      <alignment horizontal="center" vertical="center"/>
    </xf>
    <xf numFmtId="43" fontId="5" fillId="8" borderId="1" xfId="1" applyFont="1" applyFill="1" applyBorder="1" applyAlignment="1">
      <alignment horizontal="center" vertical="center"/>
    </xf>
    <xf numFmtId="43" fontId="3" fillId="8" borderId="1" xfId="0" applyNumberFormat="1" applyFont="1" applyFill="1" applyBorder="1" applyAlignment="1">
      <alignment horizontal="center" vertical="center"/>
    </xf>
    <xf numFmtId="10" fontId="3" fillId="8" borderId="1" xfId="0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2" fontId="3" fillId="9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3" fontId="0" fillId="0" borderId="0" xfId="0" applyNumberFormat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43" fontId="5" fillId="8" borderId="1" xfId="0" applyNumberFormat="1" applyFont="1" applyFill="1" applyBorder="1" applyAlignment="1">
      <alignment horizontal="center" vertical="center"/>
    </xf>
    <xf numFmtId="10" fontId="5" fillId="8" borderId="1" xfId="0" applyNumberFormat="1" applyFont="1" applyFill="1" applyBorder="1" applyAlignment="1">
      <alignment horizontal="center" vertical="center"/>
    </xf>
    <xf numFmtId="43" fontId="3" fillId="9" borderId="2" xfId="1" applyFont="1" applyFill="1" applyBorder="1" applyAlignment="1">
      <alignment horizontal="center" vertical="center"/>
    </xf>
    <xf numFmtId="44" fontId="3" fillId="9" borderId="1" xfId="2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3" fillId="9" borderId="1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43" fontId="7" fillId="0" borderId="0" xfId="0" applyNumberFormat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2" fillId="6" borderId="1" xfId="2" applyNumberFormat="1" applyFont="1" applyFill="1" applyBorder="1" applyAlignment="1">
      <alignment horizontal="center" vertical="center"/>
    </xf>
    <xf numFmtId="43" fontId="3" fillId="6" borderId="1" xfId="1" applyFont="1" applyFill="1" applyBorder="1" applyAlignment="1">
      <alignment horizontal="center" vertical="center"/>
    </xf>
    <xf numFmtId="43" fontId="3" fillId="6" borderId="1" xfId="0" applyNumberFormat="1" applyFont="1" applyFill="1" applyBorder="1" applyAlignment="1">
      <alignment horizontal="center" vertical="center"/>
    </xf>
    <xf numFmtId="43" fontId="3" fillId="8" borderId="2" xfId="1" applyFont="1" applyFill="1" applyBorder="1" applyAlignment="1">
      <alignment horizontal="center" vertical="center"/>
    </xf>
    <xf numFmtId="0" fontId="3" fillId="6" borderId="1" xfId="2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4" borderId="5" xfId="0" applyNumberFormat="1" applyFont="1" applyFill="1" applyBorder="1" applyAlignment="1" applyProtection="1">
      <alignment horizontal="center" vertical="center" wrapText="1"/>
    </xf>
    <xf numFmtId="43" fontId="3" fillId="0" borderId="10" xfId="0" applyNumberFormat="1" applyFont="1" applyFill="1" applyBorder="1" applyAlignment="1">
      <alignment horizontal="center" vertical="center" wrapText="1"/>
    </xf>
    <xf numFmtId="43" fontId="3" fillId="8" borderId="1" xfId="1" applyFont="1" applyFill="1" applyBorder="1" applyAlignment="1">
      <alignment horizontal="center" vertical="center" wrapText="1"/>
    </xf>
    <xf numFmtId="43" fontId="3" fillId="8" borderId="1" xfId="0" applyNumberFormat="1" applyFont="1" applyFill="1" applyBorder="1" applyAlignment="1">
      <alignment horizontal="center" vertical="center" wrapText="1"/>
    </xf>
    <xf numFmtId="43" fontId="18" fillId="0" borderId="0" xfId="0" applyNumberFormat="1" applyFont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43" fontId="7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3" fontId="22" fillId="0" borderId="11" xfId="0" applyNumberFormat="1" applyFont="1" applyBorder="1" applyAlignment="1">
      <alignment horizontal="center" vertical="center"/>
    </xf>
    <xf numFmtId="43" fontId="23" fillId="7" borderId="11" xfId="0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2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center"/>
    </xf>
    <xf numFmtId="43" fontId="25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wrapText="1"/>
    </xf>
    <xf numFmtId="0" fontId="19" fillId="0" borderId="1" xfId="1" applyNumberFormat="1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0" xfId="1" applyNumberFormat="1" applyFont="1" applyFill="1" applyBorder="1" applyAlignment="1">
      <alignment horizontal="left" vertical="center" wrapText="1"/>
    </xf>
    <xf numFmtId="0" fontId="3" fillId="2" borderId="0" xfId="1" applyNumberFormat="1" applyFont="1" applyFill="1" applyBorder="1" applyAlignment="1">
      <alignment horizontal="left" vertical="center"/>
    </xf>
    <xf numFmtId="0" fontId="21" fillId="8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4" fontId="24" fillId="0" borderId="12" xfId="0" applyNumberFormat="1" applyFont="1" applyBorder="1" applyAlignment="1">
      <alignment horizontal="right" vertical="center"/>
    </xf>
    <xf numFmtId="43" fontId="24" fillId="0" borderId="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25" fillId="2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3" fontId="7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43" fontId="3" fillId="9" borderId="1" xfId="1" applyFont="1" applyFill="1" applyBorder="1" applyAlignment="1">
      <alignment horizontal="right" vertical="center"/>
    </xf>
    <xf numFmtId="43" fontId="4" fillId="2" borderId="0" xfId="1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3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7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0" xfId="2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4" fillId="2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9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1" fontId="2" fillId="9" borderId="1" xfId="0" applyNumberFormat="1" applyFont="1" applyFill="1" applyBorder="1" applyAlignment="1">
      <alignment horizontal="left" vertical="center"/>
    </xf>
    <xf numFmtId="0" fontId="18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43" fontId="3" fillId="0" borderId="0" xfId="0" applyNumberFormat="1" applyFont="1" applyBorder="1" applyAlignment="1">
      <alignment vertical="center"/>
    </xf>
    <xf numFmtId="0" fontId="0" fillId="7" borderId="0" xfId="0" applyFill="1" applyBorder="1" applyAlignment="1">
      <alignment vertical="center"/>
    </xf>
    <xf numFmtId="43" fontId="0" fillId="7" borderId="0" xfId="0" applyNumberFormat="1" applyFill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/>
    </xf>
    <xf numFmtId="43" fontId="5" fillId="6" borderId="1" xfId="1" applyFont="1" applyFill="1" applyBorder="1" applyAlignment="1">
      <alignment horizontal="center" vertical="center"/>
    </xf>
    <xf numFmtId="43" fontId="5" fillId="6" borderId="1" xfId="0" applyNumberFormat="1" applyFont="1" applyFill="1" applyBorder="1" applyAlignment="1">
      <alignment horizontal="center" vertical="center"/>
    </xf>
    <xf numFmtId="10" fontId="5" fillId="6" borderId="1" xfId="0" applyNumberFormat="1" applyFont="1" applyFill="1" applyBorder="1" applyAlignment="1">
      <alignment horizontal="center" vertical="center"/>
    </xf>
    <xf numFmtId="43" fontId="0" fillId="0" borderId="1" xfId="0" applyNumberFormat="1" applyBorder="1" applyAlignment="1">
      <alignment vertical="center"/>
    </xf>
    <xf numFmtId="43" fontId="3" fillId="2" borderId="1" xfId="1" applyFont="1" applyFill="1" applyBorder="1" applyAlignment="1">
      <alignment horizontal="right" vertical="center"/>
    </xf>
    <xf numFmtId="43" fontId="7" fillId="0" borderId="9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3" fillId="9" borderId="0" xfId="0" applyFont="1" applyFill="1" applyAlignment="1">
      <alignment horizontal="right" vertical="center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left" vertical="center" wrapText="1"/>
    </xf>
    <xf numFmtId="0" fontId="2" fillId="7" borderId="1" xfId="2" applyNumberFormat="1" applyFont="1" applyFill="1" applyBorder="1" applyAlignment="1">
      <alignment horizontal="center" vertical="center"/>
    </xf>
    <xf numFmtId="43" fontId="3" fillId="7" borderId="1" xfId="1" applyFont="1" applyFill="1" applyBorder="1" applyAlignment="1">
      <alignment horizontal="center" vertical="center" wrapText="1"/>
    </xf>
    <xf numFmtId="43" fontId="3" fillId="7" borderId="1" xfId="0" applyNumberFormat="1" applyFont="1" applyFill="1" applyBorder="1" applyAlignment="1">
      <alignment horizontal="center" vertical="center" wrapText="1"/>
    </xf>
    <xf numFmtId="43" fontId="3" fillId="7" borderId="1" xfId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43" fontId="23" fillId="0" borderId="6" xfId="0" applyNumberFormat="1" applyFont="1" applyBorder="1" applyAlignment="1">
      <alignment horizontal="center" vertical="center"/>
    </xf>
    <xf numFmtId="43" fontId="23" fillId="0" borderId="7" xfId="0" applyNumberFormat="1" applyFont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43" fontId="7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3" fontId="0" fillId="0" borderId="0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43" fontId="30" fillId="0" borderId="7" xfId="0" applyNumberFormat="1" applyFont="1" applyBorder="1" applyAlignment="1">
      <alignment horizontal="right"/>
    </xf>
    <xf numFmtId="0" fontId="30" fillId="0" borderId="9" xfId="0" applyFont="1" applyBorder="1" applyAlignment="1">
      <alignment horizontal="right"/>
    </xf>
    <xf numFmtId="43" fontId="0" fillId="0" borderId="14" xfId="0" applyNumberFormat="1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8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43" fontId="25" fillId="0" borderId="1" xfId="0" applyNumberFormat="1" applyFont="1" applyBorder="1" applyAlignment="1">
      <alignment horizontal="center"/>
    </xf>
    <xf numFmtId="0" fontId="23" fillId="0" borderId="13" xfId="0" applyFont="1" applyBorder="1" applyAlignment="1">
      <alignment horizontal="right"/>
    </xf>
    <xf numFmtId="0" fontId="25" fillId="0" borderId="13" xfId="0" applyFont="1" applyBorder="1" applyAlignment="1">
      <alignment horizontal="right"/>
    </xf>
    <xf numFmtId="43" fontId="23" fillId="0" borderId="13" xfId="0" applyNumberFormat="1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43" fontId="25" fillId="0" borderId="2" xfId="0" applyNumberFormat="1" applyFont="1" applyBorder="1" applyAlignment="1">
      <alignment horizontal="left"/>
    </xf>
    <xf numFmtId="43" fontId="25" fillId="0" borderId="3" xfId="0" applyNumberFormat="1" applyFont="1" applyBorder="1" applyAlignment="1">
      <alignment horizontal="left"/>
    </xf>
    <xf numFmtId="4" fontId="25" fillId="0" borderId="1" xfId="0" applyNumberFormat="1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43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right"/>
    </xf>
    <xf numFmtId="4" fontId="25" fillId="0" borderId="3" xfId="0" applyNumberFormat="1" applyFont="1" applyBorder="1" applyAlignment="1">
      <alignment horizontal="right"/>
    </xf>
    <xf numFmtId="0" fontId="25" fillId="0" borderId="2" xfId="0" applyFont="1" applyFill="1" applyBorder="1" applyAlignment="1">
      <alignment horizontal="left"/>
    </xf>
    <xf numFmtId="0" fontId="25" fillId="0" borderId="8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left"/>
    </xf>
    <xf numFmtId="43" fontId="25" fillId="0" borderId="1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145741</xdr:rowOff>
    </xdr:from>
    <xdr:to>
      <xdr:col>2</xdr:col>
      <xdr:colOff>1308099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50" y="145741"/>
          <a:ext cx="1276349" cy="12131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28579</xdr:colOff>
      <xdr:row>0</xdr:row>
      <xdr:rowOff>121178</xdr:rowOff>
    </xdr:from>
    <xdr:to>
      <xdr:col>1</xdr:col>
      <xdr:colOff>180975</xdr:colOff>
      <xdr:row>2</xdr:row>
      <xdr:rowOff>247649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121178"/>
          <a:ext cx="638171" cy="60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0"/>
  <sheetViews>
    <sheetView tabSelected="1" zoomScale="75" zoomScaleNormal="75" workbookViewId="0">
      <selection activeCell="F19" sqref="F19"/>
    </sheetView>
  </sheetViews>
  <sheetFormatPr baseColWidth="10" defaultRowHeight="15" x14ac:dyDescent="0.25"/>
  <cols>
    <col min="1" max="1" width="6.28515625" style="47" customWidth="1"/>
    <col min="2" max="2" width="12.7109375" style="59" customWidth="1"/>
    <col min="3" max="3" width="34.140625" style="198" customWidth="1"/>
    <col min="4" max="4" width="22.42578125" style="199" customWidth="1"/>
    <col min="5" max="5" width="15" style="240" customWidth="1"/>
    <col min="6" max="6" width="4.28515625" style="47" customWidth="1"/>
    <col min="7" max="7" width="7.28515625" style="47" customWidth="1"/>
    <col min="8" max="8" width="14.85546875" style="47" customWidth="1"/>
    <col min="9" max="9" width="15.7109375" style="47" customWidth="1"/>
    <col min="10" max="10" width="12.5703125" style="47" customWidth="1"/>
    <col min="11" max="13" width="11.85546875" style="47" hidden="1" customWidth="1"/>
    <col min="14" max="14" width="10.42578125" style="47" hidden="1" customWidth="1"/>
    <col min="15" max="15" width="12.28515625" style="47" hidden="1" customWidth="1"/>
    <col min="16" max="16" width="12.85546875" style="47" customWidth="1"/>
    <col min="17" max="17" width="11.28515625" style="47" customWidth="1"/>
    <col min="18" max="18" width="12.42578125" style="47" customWidth="1"/>
    <col min="19" max="19" width="11.85546875" style="47" customWidth="1"/>
    <col min="20" max="20" width="14.5703125" style="47" customWidth="1"/>
    <col min="21" max="21" width="12.28515625" style="47" customWidth="1"/>
    <col min="22" max="22" width="14.85546875" style="47" customWidth="1"/>
    <col min="23" max="23" width="15.42578125" style="47" customWidth="1"/>
    <col min="24" max="24" width="10.28515625" style="13" customWidth="1"/>
    <col min="25" max="25" width="15.5703125" style="13" customWidth="1"/>
    <col min="26" max="26" width="16.28515625" style="13" customWidth="1"/>
    <col min="27" max="16384" width="11.42578125" style="13"/>
  </cols>
  <sheetData>
    <row r="1" spans="1:26" ht="31.5" x14ac:dyDescent="0.25">
      <c r="A1" s="294" t="s">
        <v>446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</row>
    <row r="2" spans="1:26" ht="26.25" x14ac:dyDescent="0.25">
      <c r="A2" s="296" t="s">
        <v>447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</row>
    <row r="3" spans="1:26" ht="26.25" x14ac:dyDescent="0.25">
      <c r="A3" s="297" t="s">
        <v>619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</row>
    <row r="4" spans="1:26" ht="23.25" x14ac:dyDescent="0.25">
      <c r="A4" s="301" t="s">
        <v>674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</row>
    <row r="5" spans="1:26" x14ac:dyDescent="0.25">
      <c r="A5" s="30"/>
      <c r="B5" s="51"/>
      <c r="C5" s="157"/>
      <c r="D5" s="157"/>
      <c r="E5" s="23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</row>
    <row r="6" spans="1:26" ht="21" x14ac:dyDescent="0.25">
      <c r="A6" s="298" t="s">
        <v>382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300"/>
    </row>
    <row r="7" spans="1:26" s="47" customFormat="1" ht="36.75" customHeight="1" x14ac:dyDescent="0.25">
      <c r="A7" s="31" t="s">
        <v>69</v>
      </c>
      <c r="B7" s="52" t="s">
        <v>588</v>
      </c>
      <c r="C7" s="49" t="s">
        <v>17</v>
      </c>
      <c r="D7" s="31" t="s">
        <v>161</v>
      </c>
      <c r="E7" s="31" t="s">
        <v>143</v>
      </c>
      <c r="F7" s="31" t="s">
        <v>27</v>
      </c>
      <c r="G7" s="31" t="s">
        <v>19</v>
      </c>
      <c r="H7" s="31" t="s">
        <v>18</v>
      </c>
      <c r="I7" s="31" t="s">
        <v>66</v>
      </c>
      <c r="J7" s="31" t="s">
        <v>74</v>
      </c>
      <c r="K7" s="50" t="s">
        <v>301</v>
      </c>
      <c r="L7" s="50" t="s">
        <v>302</v>
      </c>
      <c r="M7" s="50" t="s">
        <v>303</v>
      </c>
      <c r="N7" s="50" t="s">
        <v>304</v>
      </c>
      <c r="O7" s="31" t="s">
        <v>305</v>
      </c>
      <c r="P7" s="31" t="s">
        <v>67</v>
      </c>
      <c r="Q7" s="31" t="s">
        <v>68</v>
      </c>
      <c r="R7" s="31" t="s">
        <v>20</v>
      </c>
      <c r="S7" s="31" t="s">
        <v>452</v>
      </c>
      <c r="T7" s="31" t="s">
        <v>72</v>
      </c>
      <c r="U7" s="31" t="s">
        <v>157</v>
      </c>
      <c r="V7" s="31" t="s">
        <v>155</v>
      </c>
      <c r="W7" s="31" t="s">
        <v>156</v>
      </c>
    </row>
    <row r="8" spans="1:26" x14ac:dyDescent="0.25">
      <c r="A8" s="32">
        <v>1</v>
      </c>
      <c r="B8" s="164">
        <v>1585781208</v>
      </c>
      <c r="C8" s="158" t="s">
        <v>354</v>
      </c>
      <c r="D8" s="158" t="s">
        <v>162</v>
      </c>
      <c r="E8" s="21" t="s">
        <v>429</v>
      </c>
      <c r="F8" s="63">
        <v>16</v>
      </c>
      <c r="G8" s="64">
        <v>708.01</v>
      </c>
      <c r="H8" s="65">
        <f>F8*G8</f>
        <v>11328.16</v>
      </c>
      <c r="I8" s="35"/>
      <c r="J8" s="35"/>
      <c r="K8" s="64">
        <f>VLOOKUP($H$8,Tabisr,1)</f>
        <v>10248.01</v>
      </c>
      <c r="L8" s="65">
        <f>+H8-K8</f>
        <v>1080.1499999999996</v>
      </c>
      <c r="M8" s="66">
        <f>VLOOKUP($H$8,Tabisr,4)</f>
        <v>0.23519999999999999</v>
      </c>
      <c r="N8" s="64">
        <f>(H8-10248.01)*23.52%</f>
        <v>254.05127999999991</v>
      </c>
      <c r="O8" s="64">
        <v>1641.75</v>
      </c>
      <c r="P8" s="64">
        <f t="shared" ref="P8:P18" si="0">O8+N8</f>
        <v>1895.8012799999999</v>
      </c>
      <c r="Q8" s="64">
        <f>VLOOKUP($H$8,Tabsub,3)</f>
        <v>0</v>
      </c>
      <c r="R8" s="65"/>
      <c r="S8" s="65"/>
      <c r="T8" s="65"/>
      <c r="U8" s="65"/>
      <c r="V8" s="65">
        <f t="shared" ref="V8:V18" si="1">H8+I8+J8-P8+Q8-R8-S8-T8-U8</f>
        <v>9432.3587200000002</v>
      </c>
      <c r="W8" s="65">
        <f t="shared" ref="W8:W18" si="2">V8-I8</f>
        <v>9432.3587200000002</v>
      </c>
      <c r="Y8" s="14">
        <f t="shared" ref="Y8:Y18" si="3">+H8+I8+J8+Q8-P8-R8-S8-T8-U8</f>
        <v>9432.3587200000002</v>
      </c>
      <c r="Z8" s="14">
        <f t="shared" ref="Z8:Z18" si="4">+V8-I8</f>
        <v>9432.3587200000002</v>
      </c>
    </row>
    <row r="9" spans="1:26" x14ac:dyDescent="0.25">
      <c r="A9" s="32">
        <v>2</v>
      </c>
      <c r="B9" s="164">
        <v>1585781216</v>
      </c>
      <c r="C9" s="158" t="s">
        <v>355</v>
      </c>
      <c r="D9" s="21" t="s">
        <v>162</v>
      </c>
      <c r="E9" s="21" t="s">
        <v>433</v>
      </c>
      <c r="F9" s="63">
        <v>16</v>
      </c>
      <c r="G9" s="64">
        <v>708.01</v>
      </c>
      <c r="H9" s="65">
        <f t="shared" ref="H9:H16" si="5">F9*G9</f>
        <v>11328.16</v>
      </c>
      <c r="I9" s="35"/>
      <c r="J9" s="35"/>
      <c r="K9" s="64">
        <f>VLOOKUP($H$9,Tabisr,1)</f>
        <v>10248.01</v>
      </c>
      <c r="L9" s="65">
        <f t="shared" ref="L9:L16" si="6">+H9-K9</f>
        <v>1080.1499999999996</v>
      </c>
      <c r="M9" s="66">
        <f>VLOOKUP($H$9,Tabisr,4)</f>
        <v>0.23519999999999999</v>
      </c>
      <c r="N9" s="64">
        <f t="shared" ref="N9:N16" si="7">(H9-10248.01)*23.52%</f>
        <v>254.05127999999991</v>
      </c>
      <c r="O9" s="64">
        <v>1641.75</v>
      </c>
      <c r="P9" s="64">
        <f t="shared" si="0"/>
        <v>1895.8012799999999</v>
      </c>
      <c r="Q9" s="64">
        <f>VLOOKUP($H$9,Tabsub,3)</f>
        <v>0</v>
      </c>
      <c r="R9" s="65"/>
      <c r="S9" s="65"/>
      <c r="T9" s="65"/>
      <c r="U9" s="65"/>
      <c r="V9" s="65">
        <f t="shared" si="1"/>
        <v>9432.3587200000002</v>
      </c>
      <c r="W9" s="65">
        <f t="shared" si="2"/>
        <v>9432.3587200000002</v>
      </c>
      <c r="Y9" s="14">
        <f t="shared" si="3"/>
        <v>9432.3587200000002</v>
      </c>
      <c r="Z9" s="14">
        <f t="shared" si="4"/>
        <v>9432.3587200000002</v>
      </c>
    </row>
    <row r="10" spans="1:26" x14ac:dyDescent="0.25">
      <c r="A10" s="32">
        <v>3</v>
      </c>
      <c r="B10" s="164">
        <v>1585781224</v>
      </c>
      <c r="C10" s="158" t="s">
        <v>356</v>
      </c>
      <c r="D10" s="158" t="s">
        <v>162</v>
      </c>
      <c r="E10" s="21" t="s">
        <v>427</v>
      </c>
      <c r="F10" s="63">
        <v>16</v>
      </c>
      <c r="G10" s="64">
        <v>708.01</v>
      </c>
      <c r="H10" s="65">
        <f t="shared" si="5"/>
        <v>11328.16</v>
      </c>
      <c r="I10" s="35"/>
      <c r="J10" s="35"/>
      <c r="K10" s="64">
        <f>VLOOKUP($H$10,Tabisr,1)</f>
        <v>10248.01</v>
      </c>
      <c r="L10" s="65">
        <f t="shared" si="6"/>
        <v>1080.1499999999996</v>
      </c>
      <c r="M10" s="66">
        <f>VLOOKUP($H$10,Tabisr,4)</f>
        <v>0.23519999999999999</v>
      </c>
      <c r="N10" s="64">
        <f t="shared" si="7"/>
        <v>254.05127999999991</v>
      </c>
      <c r="O10" s="64">
        <v>1641.75</v>
      </c>
      <c r="P10" s="64">
        <f t="shared" si="0"/>
        <v>1895.8012799999999</v>
      </c>
      <c r="Q10" s="64">
        <f>VLOOKUP($H$10,Tabsub,3)</f>
        <v>0</v>
      </c>
      <c r="R10" s="65"/>
      <c r="S10" s="65"/>
      <c r="T10" s="65"/>
      <c r="U10" s="65"/>
      <c r="V10" s="65">
        <f t="shared" si="1"/>
        <v>9432.3587200000002</v>
      </c>
      <c r="W10" s="65">
        <f t="shared" si="2"/>
        <v>9432.3587200000002</v>
      </c>
      <c r="Y10" s="14">
        <f t="shared" si="3"/>
        <v>9432.3587200000002</v>
      </c>
      <c r="Z10" s="14">
        <f t="shared" si="4"/>
        <v>9432.3587200000002</v>
      </c>
    </row>
    <row r="11" spans="1:26" x14ac:dyDescent="0.25">
      <c r="A11" s="32">
        <v>4</v>
      </c>
      <c r="B11" s="164">
        <v>1585781234</v>
      </c>
      <c r="C11" s="158" t="s">
        <v>357</v>
      </c>
      <c r="D11" s="159" t="s">
        <v>162</v>
      </c>
      <c r="E11" s="21" t="s">
        <v>428</v>
      </c>
      <c r="F11" s="63">
        <v>16</v>
      </c>
      <c r="G11" s="64">
        <v>708.01</v>
      </c>
      <c r="H11" s="65">
        <f t="shared" si="5"/>
        <v>11328.16</v>
      </c>
      <c r="I11" s="35"/>
      <c r="J11" s="35"/>
      <c r="K11" s="64">
        <f>VLOOKUP($H$11,Tabisr,1)</f>
        <v>10248.01</v>
      </c>
      <c r="L11" s="65">
        <f t="shared" si="6"/>
        <v>1080.1499999999996</v>
      </c>
      <c r="M11" s="66">
        <f>VLOOKUP($H$11,Tabisr,4)</f>
        <v>0.23519999999999999</v>
      </c>
      <c r="N11" s="64">
        <f t="shared" si="7"/>
        <v>254.05127999999991</v>
      </c>
      <c r="O11" s="64">
        <v>1641.75</v>
      </c>
      <c r="P11" s="64">
        <f t="shared" si="0"/>
        <v>1895.8012799999999</v>
      </c>
      <c r="Q11" s="64">
        <f>VLOOKUP($H$11,Tabsub,3)</f>
        <v>0</v>
      </c>
      <c r="R11" s="65"/>
      <c r="S11" s="65"/>
      <c r="T11" s="65"/>
      <c r="U11" s="65"/>
      <c r="V11" s="65">
        <f t="shared" si="1"/>
        <v>9432.3587200000002</v>
      </c>
      <c r="W11" s="65">
        <f t="shared" si="2"/>
        <v>9432.3587200000002</v>
      </c>
      <c r="Y11" s="14">
        <f t="shared" si="3"/>
        <v>9432.3587200000002</v>
      </c>
      <c r="Z11" s="14">
        <f t="shared" si="4"/>
        <v>9432.3587200000002</v>
      </c>
    </row>
    <row r="12" spans="1:26" x14ac:dyDescent="0.25">
      <c r="A12" s="32">
        <v>5</v>
      </c>
      <c r="B12" s="164">
        <v>2727626479</v>
      </c>
      <c r="C12" s="158" t="s">
        <v>439</v>
      </c>
      <c r="D12" s="160" t="s">
        <v>162</v>
      </c>
      <c r="E12" s="21" t="s">
        <v>432</v>
      </c>
      <c r="F12" s="63">
        <v>16</v>
      </c>
      <c r="G12" s="64">
        <v>708.01</v>
      </c>
      <c r="H12" s="65">
        <f t="shared" si="5"/>
        <v>11328.16</v>
      </c>
      <c r="I12" s="35"/>
      <c r="J12" s="35"/>
      <c r="K12" s="64">
        <f>VLOOKUP($H$12,Tabisr,1)</f>
        <v>10248.01</v>
      </c>
      <c r="L12" s="65">
        <f t="shared" si="6"/>
        <v>1080.1499999999996</v>
      </c>
      <c r="M12" s="66">
        <f>VLOOKUP($H$12,Tabisr,4)</f>
        <v>0.23519999999999999</v>
      </c>
      <c r="N12" s="64">
        <f t="shared" si="7"/>
        <v>254.05127999999991</v>
      </c>
      <c r="O12" s="64">
        <v>1641.75</v>
      </c>
      <c r="P12" s="64">
        <f t="shared" si="0"/>
        <v>1895.8012799999999</v>
      </c>
      <c r="Q12" s="64">
        <f>VLOOKUP($H$12,Tabsub,3)</f>
        <v>0</v>
      </c>
      <c r="R12" s="65"/>
      <c r="S12" s="65"/>
      <c r="T12" s="65"/>
      <c r="U12" s="65"/>
      <c r="V12" s="65">
        <f t="shared" si="1"/>
        <v>9432.3587200000002</v>
      </c>
      <c r="W12" s="65">
        <f t="shared" si="2"/>
        <v>9432.3587200000002</v>
      </c>
      <c r="Y12" s="14">
        <f t="shared" si="3"/>
        <v>9432.3587200000002</v>
      </c>
      <c r="Z12" s="14">
        <f t="shared" si="4"/>
        <v>9432.3587200000002</v>
      </c>
    </row>
    <row r="13" spans="1:26" x14ac:dyDescent="0.25">
      <c r="A13" s="32">
        <v>6</v>
      </c>
      <c r="B13" s="164">
        <v>1585781241</v>
      </c>
      <c r="C13" s="158" t="s">
        <v>358</v>
      </c>
      <c r="D13" s="159" t="s">
        <v>162</v>
      </c>
      <c r="E13" s="21" t="s">
        <v>431</v>
      </c>
      <c r="F13" s="63">
        <v>16</v>
      </c>
      <c r="G13" s="64">
        <v>708.01</v>
      </c>
      <c r="H13" s="65">
        <f t="shared" si="5"/>
        <v>11328.16</v>
      </c>
      <c r="I13" s="35"/>
      <c r="J13" s="35"/>
      <c r="K13" s="64">
        <f>VLOOKUP($H$13,Tabisr,1)</f>
        <v>10248.01</v>
      </c>
      <c r="L13" s="65">
        <f t="shared" si="6"/>
        <v>1080.1499999999996</v>
      </c>
      <c r="M13" s="66">
        <f>VLOOKUP($H$13,Tabisr,4)</f>
        <v>0.23519999999999999</v>
      </c>
      <c r="N13" s="64">
        <f t="shared" si="7"/>
        <v>254.05127999999991</v>
      </c>
      <c r="O13" s="64">
        <v>1641.75</v>
      </c>
      <c r="P13" s="64">
        <f t="shared" si="0"/>
        <v>1895.8012799999999</v>
      </c>
      <c r="Q13" s="64">
        <f>VLOOKUP($H$13,Tabsub,3)</f>
        <v>0</v>
      </c>
      <c r="R13" s="65"/>
      <c r="S13" s="65"/>
      <c r="T13" s="65"/>
      <c r="U13" s="65"/>
      <c r="V13" s="65">
        <f t="shared" si="1"/>
        <v>9432.3587200000002</v>
      </c>
      <c r="W13" s="65">
        <f t="shared" si="2"/>
        <v>9432.3587200000002</v>
      </c>
      <c r="Y13" s="14">
        <f t="shared" si="3"/>
        <v>9432.3587200000002</v>
      </c>
      <c r="Z13" s="14">
        <f t="shared" si="4"/>
        <v>9432.3587200000002</v>
      </c>
    </row>
    <row r="14" spans="1:26" s="24" customFormat="1" x14ac:dyDescent="0.25">
      <c r="A14" s="32">
        <v>7</v>
      </c>
      <c r="B14" s="164">
        <v>1585781259</v>
      </c>
      <c r="C14" s="158" t="s">
        <v>359</v>
      </c>
      <c r="D14" s="160" t="s">
        <v>162</v>
      </c>
      <c r="E14" s="21" t="s">
        <v>426</v>
      </c>
      <c r="F14" s="63">
        <v>16</v>
      </c>
      <c r="G14" s="64">
        <v>708.01</v>
      </c>
      <c r="H14" s="65">
        <f t="shared" si="5"/>
        <v>11328.16</v>
      </c>
      <c r="I14" s="35"/>
      <c r="J14" s="35"/>
      <c r="K14" s="64">
        <f>VLOOKUP($H$14,Tabisr,1)</f>
        <v>10248.01</v>
      </c>
      <c r="L14" s="65">
        <f t="shared" si="6"/>
        <v>1080.1499999999996</v>
      </c>
      <c r="M14" s="66">
        <f>VLOOKUP($H$14,Tabisr,4)</f>
        <v>0.23519999999999999</v>
      </c>
      <c r="N14" s="64">
        <f t="shared" si="7"/>
        <v>254.05127999999991</v>
      </c>
      <c r="O14" s="64">
        <v>1641.75</v>
      </c>
      <c r="P14" s="64">
        <f t="shared" si="0"/>
        <v>1895.8012799999999</v>
      </c>
      <c r="Q14" s="64">
        <f>VLOOKUP($H$14,Tabsub,3)</f>
        <v>0</v>
      </c>
      <c r="R14" s="65"/>
      <c r="S14" s="65"/>
      <c r="T14" s="65"/>
      <c r="U14" s="65"/>
      <c r="V14" s="65">
        <f t="shared" si="1"/>
        <v>9432.3587200000002</v>
      </c>
      <c r="W14" s="65">
        <f t="shared" si="2"/>
        <v>9432.3587200000002</v>
      </c>
      <c r="Y14" s="25">
        <f t="shared" si="3"/>
        <v>9432.3587200000002</v>
      </c>
      <c r="Z14" s="25">
        <f t="shared" si="4"/>
        <v>9432.3587200000002</v>
      </c>
    </row>
    <row r="15" spans="1:26" x14ac:dyDescent="0.25">
      <c r="A15" s="32">
        <v>8</v>
      </c>
      <c r="B15" s="164">
        <v>2908191751</v>
      </c>
      <c r="C15" s="158" t="s">
        <v>360</v>
      </c>
      <c r="D15" s="159" t="s">
        <v>162</v>
      </c>
      <c r="E15" s="21" t="s">
        <v>430</v>
      </c>
      <c r="F15" s="63">
        <v>16</v>
      </c>
      <c r="G15" s="64">
        <v>708.01</v>
      </c>
      <c r="H15" s="65">
        <f t="shared" si="5"/>
        <v>11328.16</v>
      </c>
      <c r="I15" s="35"/>
      <c r="J15" s="35"/>
      <c r="K15" s="64">
        <f>VLOOKUP($H$15,Tabisr,1)</f>
        <v>10248.01</v>
      </c>
      <c r="L15" s="65">
        <f t="shared" si="6"/>
        <v>1080.1499999999996</v>
      </c>
      <c r="M15" s="66">
        <f>VLOOKUP($H$15,Tabisr,4)</f>
        <v>0.23519999999999999</v>
      </c>
      <c r="N15" s="64">
        <f t="shared" si="7"/>
        <v>254.05127999999991</v>
      </c>
      <c r="O15" s="64">
        <v>1641.75</v>
      </c>
      <c r="P15" s="64">
        <f t="shared" si="0"/>
        <v>1895.8012799999999</v>
      </c>
      <c r="Q15" s="64">
        <f>VLOOKUP($H$15,Tabsub,3)</f>
        <v>0</v>
      </c>
      <c r="R15" s="65"/>
      <c r="S15" s="65"/>
      <c r="T15" s="65"/>
      <c r="U15" s="65"/>
      <c r="V15" s="65">
        <f t="shared" si="1"/>
        <v>9432.3587200000002</v>
      </c>
      <c r="W15" s="65">
        <f t="shared" si="2"/>
        <v>9432.3587200000002</v>
      </c>
      <c r="Y15" s="14">
        <f t="shared" si="3"/>
        <v>9432.3587200000002</v>
      </c>
      <c r="Z15" s="14">
        <f t="shared" si="4"/>
        <v>9432.3587200000002</v>
      </c>
    </row>
    <row r="16" spans="1:26" x14ac:dyDescent="0.25">
      <c r="A16" s="32">
        <v>9</v>
      </c>
      <c r="B16" s="164">
        <v>1599825782</v>
      </c>
      <c r="C16" s="158" t="s">
        <v>661</v>
      </c>
      <c r="D16" s="158" t="s">
        <v>162</v>
      </c>
      <c r="E16" s="21" t="s">
        <v>662</v>
      </c>
      <c r="F16" s="63">
        <v>16</v>
      </c>
      <c r="G16" s="64">
        <v>708.01</v>
      </c>
      <c r="H16" s="65">
        <f t="shared" si="5"/>
        <v>11328.16</v>
      </c>
      <c r="I16" s="35"/>
      <c r="J16" s="64"/>
      <c r="K16" s="64">
        <f>VLOOKUP($H$16,Tabisr,1)</f>
        <v>10248.01</v>
      </c>
      <c r="L16" s="65">
        <f t="shared" si="6"/>
        <v>1080.1499999999996</v>
      </c>
      <c r="M16" s="66">
        <f>VLOOKUP($H$16,Tabisr,4)</f>
        <v>0.23519999999999999</v>
      </c>
      <c r="N16" s="64">
        <f t="shared" si="7"/>
        <v>254.05127999999991</v>
      </c>
      <c r="O16" s="64">
        <v>1641.75</v>
      </c>
      <c r="P16" s="64">
        <f t="shared" si="0"/>
        <v>1895.8012799999999</v>
      </c>
      <c r="Q16" s="64">
        <f>VLOOKUP($H$16,Tabsub,3)</f>
        <v>0</v>
      </c>
      <c r="R16" s="65"/>
      <c r="S16" s="65"/>
      <c r="T16" s="65"/>
      <c r="U16" s="65"/>
      <c r="V16" s="65">
        <f t="shared" si="1"/>
        <v>9432.3587200000002</v>
      </c>
      <c r="W16" s="65">
        <f t="shared" si="2"/>
        <v>9432.3587200000002</v>
      </c>
      <c r="Y16" s="14">
        <f t="shared" si="3"/>
        <v>9432.3587200000002</v>
      </c>
      <c r="Z16" s="14">
        <f t="shared" si="4"/>
        <v>9432.3587200000002</v>
      </c>
    </row>
    <row r="17" spans="1:27" x14ac:dyDescent="0.25">
      <c r="A17" s="33">
        <v>10</v>
      </c>
      <c r="B17" s="164">
        <v>1585781275</v>
      </c>
      <c r="C17" s="158" t="s">
        <v>196</v>
      </c>
      <c r="D17" s="158" t="s">
        <v>450</v>
      </c>
      <c r="E17" s="21" t="s">
        <v>226</v>
      </c>
      <c r="F17" s="63">
        <v>16</v>
      </c>
      <c r="G17" s="64">
        <v>393.95</v>
      </c>
      <c r="H17" s="65">
        <f>F17*G17</f>
        <v>6303.2</v>
      </c>
      <c r="I17" s="64">
        <v>400</v>
      </c>
      <c r="J17" s="64"/>
      <c r="K17" s="64">
        <f>VLOOKUP($H$206,Tabisr,1)</f>
        <v>5081.01</v>
      </c>
      <c r="L17" s="65">
        <f>+H17-K17</f>
        <v>1222.1899999999996</v>
      </c>
      <c r="M17" s="66">
        <f>VLOOKUP($H$206,Tabisr,4)</f>
        <v>0.21360000000000001</v>
      </c>
      <c r="N17" s="64">
        <f>+L17*M17</f>
        <v>261.05978399999992</v>
      </c>
      <c r="O17" s="64">
        <f>VLOOKUP($H$206,Tabisr,3)</f>
        <v>538.20000000000005</v>
      </c>
      <c r="P17" s="64">
        <f>+N17+O17</f>
        <v>799.25978399999997</v>
      </c>
      <c r="Q17" s="64">
        <f>VLOOKUP($H$369,Tabsub,3)</f>
        <v>0</v>
      </c>
      <c r="R17" s="64">
        <v>1050</v>
      </c>
      <c r="S17" s="64"/>
      <c r="T17" s="64"/>
      <c r="U17" s="64"/>
      <c r="V17" s="65">
        <f t="shared" si="1"/>
        <v>4853.940216</v>
      </c>
      <c r="W17" s="65">
        <f t="shared" si="2"/>
        <v>4453.940216</v>
      </c>
      <c r="Y17" s="14">
        <f t="shared" si="3"/>
        <v>4853.940216</v>
      </c>
      <c r="Z17" s="14">
        <f t="shared" si="4"/>
        <v>4453.940216</v>
      </c>
    </row>
    <row r="18" spans="1:27" x14ac:dyDescent="0.25">
      <c r="A18" s="32">
        <v>11</v>
      </c>
      <c r="B18" s="164">
        <v>1585781283</v>
      </c>
      <c r="C18" s="161" t="s">
        <v>236</v>
      </c>
      <c r="D18" s="162" t="s">
        <v>163</v>
      </c>
      <c r="E18" s="162" t="s">
        <v>237</v>
      </c>
      <c r="F18" s="63">
        <v>16</v>
      </c>
      <c r="G18" s="68">
        <v>250.29</v>
      </c>
      <c r="H18" s="68">
        <f>F18*G18</f>
        <v>4004.64</v>
      </c>
      <c r="I18" s="68">
        <v>400</v>
      </c>
      <c r="J18" s="69"/>
      <c r="K18" s="68">
        <f>VLOOKUP($H$18,Tabisr,1)</f>
        <v>3651.01</v>
      </c>
      <c r="L18" s="70">
        <f>+H18-K18</f>
        <v>353.62999999999965</v>
      </c>
      <c r="M18" s="71">
        <f>VLOOKUP($H$18,Tabisr,4)</f>
        <v>0.16</v>
      </c>
      <c r="N18" s="68">
        <f>(H18-3651.01)*16%</f>
        <v>56.580799999999947</v>
      </c>
      <c r="O18" s="68">
        <v>293.25</v>
      </c>
      <c r="P18" s="68">
        <f t="shared" si="0"/>
        <v>349.83079999999995</v>
      </c>
      <c r="Q18" s="68">
        <f>VLOOKUP($H$18,Tabsub,3)</f>
        <v>0</v>
      </c>
      <c r="R18" s="69"/>
      <c r="S18" s="69"/>
      <c r="T18" s="69"/>
      <c r="U18" s="69"/>
      <c r="V18" s="72">
        <f t="shared" si="1"/>
        <v>4054.8091999999997</v>
      </c>
      <c r="W18" s="70">
        <f t="shared" si="2"/>
        <v>3654.8091999999997</v>
      </c>
      <c r="Y18" s="14">
        <f t="shared" si="3"/>
        <v>4054.8091999999997</v>
      </c>
      <c r="Z18" s="14">
        <f t="shared" si="4"/>
        <v>3654.8091999999997</v>
      </c>
      <c r="AA18" s="14"/>
    </row>
    <row r="19" spans="1:27" x14ac:dyDescent="0.25">
      <c r="A19" s="34"/>
      <c r="B19" s="53"/>
      <c r="C19" s="163"/>
      <c r="D19" s="163"/>
      <c r="E19" s="233"/>
      <c r="F19" s="73" t="s">
        <v>531</v>
      </c>
      <c r="G19" s="74"/>
      <c r="H19" s="75">
        <f>SUM(H8:H18)</f>
        <v>112261.28000000001</v>
      </c>
      <c r="I19" s="75">
        <f>SUM(I8:I18)</f>
        <v>800</v>
      </c>
      <c r="J19" s="75">
        <f t="shared" ref="J19:O19" si="8">SUM(J8:J18)</f>
        <v>0</v>
      </c>
      <c r="K19" s="75">
        <f t="shared" si="8"/>
        <v>100964.10999999999</v>
      </c>
      <c r="L19" s="75">
        <f t="shared" si="8"/>
        <v>11297.169999999996</v>
      </c>
      <c r="M19" s="75">
        <f t="shared" si="8"/>
        <v>2.4904000000000002</v>
      </c>
      <c r="N19" s="75">
        <f t="shared" si="8"/>
        <v>2604.1021039999987</v>
      </c>
      <c r="O19" s="75">
        <f t="shared" si="8"/>
        <v>15607.2</v>
      </c>
      <c r="P19" s="75">
        <f t="shared" ref="P19:W19" si="9">SUM(P8:P18)</f>
        <v>18211.302104000002</v>
      </c>
      <c r="Q19" s="75">
        <f t="shared" si="9"/>
        <v>0</v>
      </c>
      <c r="R19" s="75">
        <f t="shared" si="9"/>
        <v>1050</v>
      </c>
      <c r="S19" s="75">
        <f t="shared" si="9"/>
        <v>0</v>
      </c>
      <c r="T19" s="75">
        <f t="shared" si="9"/>
        <v>0</v>
      </c>
      <c r="U19" s="75">
        <f t="shared" si="9"/>
        <v>0</v>
      </c>
      <c r="V19" s="75">
        <f t="shared" si="9"/>
        <v>93799.977896000026</v>
      </c>
      <c r="W19" s="75">
        <f t="shared" si="9"/>
        <v>92999.977896000026</v>
      </c>
      <c r="Y19" s="15">
        <f>+SUM(Y8:Y18)</f>
        <v>93799.977896000026</v>
      </c>
      <c r="Z19" s="15">
        <f>+SUM(Z8:Z18)</f>
        <v>92999.977896000026</v>
      </c>
    </row>
    <row r="20" spans="1:27" x14ac:dyDescent="0.25">
      <c r="A20" s="34"/>
      <c r="B20" s="53"/>
      <c r="C20" s="163"/>
      <c r="D20" s="163"/>
      <c r="E20" s="233"/>
      <c r="F20" s="73"/>
      <c r="G20" s="74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Y20" s="15"/>
      <c r="Z20" s="15"/>
    </row>
    <row r="21" spans="1:27" x14ac:dyDescent="0.25">
      <c r="A21" s="34"/>
      <c r="B21" s="53"/>
      <c r="C21" s="163"/>
      <c r="D21" s="163"/>
      <c r="E21" s="233"/>
      <c r="F21" s="73"/>
      <c r="G21" s="74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Y21" s="14"/>
      <c r="Z21" s="14"/>
    </row>
    <row r="22" spans="1:27" ht="18.75" x14ac:dyDescent="0.25">
      <c r="A22" s="277" t="s">
        <v>383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9"/>
      <c r="Y22" s="14"/>
      <c r="Z22" s="14"/>
    </row>
    <row r="23" spans="1:27" ht="33.75" customHeight="1" x14ac:dyDescent="0.25">
      <c r="A23" s="31" t="s">
        <v>69</v>
      </c>
      <c r="B23" s="52" t="s">
        <v>588</v>
      </c>
      <c r="C23" s="31" t="s">
        <v>17</v>
      </c>
      <c r="D23" s="31" t="s">
        <v>161</v>
      </c>
      <c r="E23" s="31" t="s">
        <v>143</v>
      </c>
      <c r="F23" s="31" t="s">
        <v>27</v>
      </c>
      <c r="G23" s="31" t="s">
        <v>19</v>
      </c>
      <c r="H23" s="31" t="s">
        <v>18</v>
      </c>
      <c r="I23" s="31" t="s">
        <v>66</v>
      </c>
      <c r="J23" s="31" t="s">
        <v>74</v>
      </c>
      <c r="K23" s="50" t="s">
        <v>301</v>
      </c>
      <c r="L23" s="50" t="s">
        <v>302</v>
      </c>
      <c r="M23" s="50" t="s">
        <v>303</v>
      </c>
      <c r="N23" s="50" t="s">
        <v>304</v>
      </c>
      <c r="O23" s="31" t="s">
        <v>305</v>
      </c>
      <c r="P23" s="31" t="s">
        <v>67</v>
      </c>
      <c r="Q23" s="31" t="s">
        <v>68</v>
      </c>
      <c r="R23" s="31" t="s">
        <v>20</v>
      </c>
      <c r="S23" s="31" t="s">
        <v>452</v>
      </c>
      <c r="T23" s="31" t="s">
        <v>72</v>
      </c>
      <c r="U23" s="31" t="s">
        <v>157</v>
      </c>
      <c r="V23" s="31" t="s">
        <v>155</v>
      </c>
      <c r="W23" s="31" t="s">
        <v>156</v>
      </c>
      <c r="Y23" s="14"/>
      <c r="Z23" s="14"/>
    </row>
    <row r="24" spans="1:27" s="24" customFormat="1" x14ac:dyDescent="0.25">
      <c r="A24" s="32">
        <v>12</v>
      </c>
      <c r="B24" s="164">
        <v>1506651402</v>
      </c>
      <c r="C24" s="16" t="s">
        <v>344</v>
      </c>
      <c r="D24" s="19" t="s">
        <v>343</v>
      </c>
      <c r="E24" s="21" t="s">
        <v>345</v>
      </c>
      <c r="F24" s="67">
        <v>16</v>
      </c>
      <c r="G24" s="76">
        <v>1551.67</v>
      </c>
      <c r="H24" s="72">
        <f t="shared" ref="H24:H28" si="10">F24*G24</f>
        <v>24826.720000000001</v>
      </c>
      <c r="I24" s="64"/>
      <c r="J24" s="64"/>
      <c r="K24" s="76">
        <f>VLOOKUP($H$24,Tabisr,1)</f>
        <v>16153.01</v>
      </c>
      <c r="L24" s="72">
        <f t="shared" ref="L24:L28" si="11">+H24-K24</f>
        <v>8673.7100000000009</v>
      </c>
      <c r="M24" s="77">
        <f>VLOOKUP($H$24,Tabisr,4)</f>
        <v>0.3</v>
      </c>
      <c r="N24" s="76">
        <f>(H24-16153.01)*30%</f>
        <v>2602.1130000000003</v>
      </c>
      <c r="O24" s="76">
        <f>VLOOKUP($H$24,Tabisr,3)</f>
        <v>3030.6</v>
      </c>
      <c r="P24" s="76">
        <f>3030.6+((H24-16153.01)*30%)</f>
        <v>5632.7129999999997</v>
      </c>
      <c r="Q24" s="76">
        <f>VLOOKUP($H$24,Tabsub,3)</f>
        <v>0</v>
      </c>
      <c r="R24" s="64">
        <v>4750</v>
      </c>
      <c r="S24" s="64">
        <v>5200</v>
      </c>
      <c r="T24" s="64"/>
      <c r="U24" s="64"/>
      <c r="V24" s="72">
        <f t="shared" ref="V24:V28" si="12">H24+I24+J24-P24+Q24-R24-S24-T24-U24</f>
        <v>9244.0070000000014</v>
      </c>
      <c r="W24" s="72">
        <f t="shared" ref="W24:W28" si="13">V24-I24</f>
        <v>9244.0070000000014</v>
      </c>
      <c r="Y24" s="25">
        <f t="shared" ref="Y24:Y28" si="14">+H24+I24+J24+Q24-P24-R24-S24-T24-U24</f>
        <v>9244.0070000000014</v>
      </c>
      <c r="Z24" s="25">
        <f t="shared" ref="Z24:Z28" si="15">+V24-I24</f>
        <v>9244.0070000000014</v>
      </c>
    </row>
    <row r="25" spans="1:27" x14ac:dyDescent="0.25">
      <c r="A25" s="38">
        <v>13</v>
      </c>
      <c r="B25" s="243"/>
      <c r="C25" s="165" t="s">
        <v>458</v>
      </c>
      <c r="D25" s="165" t="s">
        <v>451</v>
      </c>
      <c r="E25" s="23"/>
      <c r="F25" s="82"/>
      <c r="G25" s="83"/>
      <c r="H25" s="83"/>
      <c r="I25" s="83"/>
      <c r="J25" s="115"/>
      <c r="K25" s="83"/>
      <c r="L25" s="85"/>
      <c r="M25" s="86"/>
      <c r="N25" s="83"/>
      <c r="O25" s="83"/>
      <c r="P25" s="268"/>
      <c r="Q25" s="83"/>
      <c r="R25" s="83"/>
      <c r="S25" s="83"/>
      <c r="T25" s="83"/>
      <c r="U25" s="83"/>
      <c r="V25" s="85"/>
      <c r="W25" s="85"/>
      <c r="Y25" s="14">
        <f t="shared" si="14"/>
        <v>0</v>
      </c>
      <c r="Z25" s="14">
        <f t="shared" si="15"/>
        <v>0</v>
      </c>
    </row>
    <row r="26" spans="1:27" x14ac:dyDescent="0.25">
      <c r="A26" s="32">
        <v>14</v>
      </c>
      <c r="B26" s="164">
        <v>2720438219</v>
      </c>
      <c r="C26" s="16" t="s">
        <v>348</v>
      </c>
      <c r="D26" s="168" t="s">
        <v>376</v>
      </c>
      <c r="E26" s="19" t="s">
        <v>349</v>
      </c>
      <c r="F26" s="67">
        <v>16</v>
      </c>
      <c r="G26" s="76">
        <v>509.53</v>
      </c>
      <c r="H26" s="76">
        <f>F26*G26</f>
        <v>8152.48</v>
      </c>
      <c r="I26" s="64"/>
      <c r="J26" s="64"/>
      <c r="K26" s="76">
        <f>VLOOKUP($H$26,Tabisr,1)</f>
        <v>5081.01</v>
      </c>
      <c r="L26" s="72">
        <f t="shared" si="11"/>
        <v>3071.4699999999993</v>
      </c>
      <c r="M26" s="77">
        <f>VLOOKUP($H$26,Tabisr,4)</f>
        <v>0.21360000000000001</v>
      </c>
      <c r="N26" s="76">
        <f>(H26-5081.01)*21.36%-153.47</f>
        <v>502.5959919999998</v>
      </c>
      <c r="O26" s="76">
        <v>538.20000000000005</v>
      </c>
      <c r="P26" s="76">
        <f>N26+O26</f>
        <v>1040.7959919999998</v>
      </c>
      <c r="Q26" s="76">
        <f>VLOOKUP($H$26,Tabsub,3)</f>
        <v>0</v>
      </c>
      <c r="R26" s="64"/>
      <c r="S26" s="64"/>
      <c r="T26" s="64"/>
      <c r="U26" s="64"/>
      <c r="V26" s="72">
        <f t="shared" si="12"/>
        <v>7111.6840080000002</v>
      </c>
      <c r="W26" s="72">
        <f t="shared" si="13"/>
        <v>7111.6840080000002</v>
      </c>
      <c r="Y26" s="14">
        <f t="shared" si="14"/>
        <v>7111.6840080000002</v>
      </c>
      <c r="Z26" s="14">
        <f t="shared" si="15"/>
        <v>7111.6840080000002</v>
      </c>
    </row>
    <row r="27" spans="1:27" x14ac:dyDescent="0.25">
      <c r="A27" s="32">
        <v>15</v>
      </c>
      <c r="B27" s="164">
        <v>1585781305</v>
      </c>
      <c r="C27" s="16" t="s">
        <v>374</v>
      </c>
      <c r="D27" s="168" t="s">
        <v>377</v>
      </c>
      <c r="E27" s="21" t="s">
        <v>375</v>
      </c>
      <c r="F27" s="67">
        <v>16</v>
      </c>
      <c r="G27" s="76">
        <v>509.53</v>
      </c>
      <c r="H27" s="76">
        <f>F27*G27</f>
        <v>8152.48</v>
      </c>
      <c r="I27" s="64"/>
      <c r="J27" s="64"/>
      <c r="K27" s="76">
        <f>VLOOKUP($H$26,Tabisr,1)</f>
        <v>5081.01</v>
      </c>
      <c r="L27" s="72">
        <f t="shared" si="11"/>
        <v>3071.4699999999993</v>
      </c>
      <c r="M27" s="77">
        <f>VLOOKUP($H$26,Tabisr,4)</f>
        <v>0.21360000000000001</v>
      </c>
      <c r="N27" s="76">
        <f>(H27-5081.01)*21.36%-155.67</f>
        <v>500.39599199999986</v>
      </c>
      <c r="O27" s="76">
        <v>538.20000000000005</v>
      </c>
      <c r="P27" s="76">
        <v>931.96</v>
      </c>
      <c r="Q27" s="76">
        <f>VLOOKUP($H$26,Tabsub,3)</f>
        <v>0</v>
      </c>
      <c r="R27" s="64"/>
      <c r="S27" s="64"/>
      <c r="T27" s="64"/>
      <c r="U27" s="64"/>
      <c r="V27" s="72">
        <f t="shared" si="12"/>
        <v>7220.5199999999995</v>
      </c>
      <c r="W27" s="72">
        <f t="shared" si="13"/>
        <v>7220.5199999999995</v>
      </c>
      <c r="Y27" s="14">
        <f t="shared" si="14"/>
        <v>7220.5199999999995</v>
      </c>
      <c r="Z27" s="14">
        <f t="shared" si="15"/>
        <v>7220.5199999999995</v>
      </c>
    </row>
    <row r="28" spans="1:27" x14ac:dyDescent="0.25">
      <c r="A28" s="32">
        <v>16</v>
      </c>
      <c r="B28" s="164">
        <v>1585781313</v>
      </c>
      <c r="C28" s="16" t="s">
        <v>413</v>
      </c>
      <c r="D28" s="19" t="s">
        <v>163</v>
      </c>
      <c r="E28" s="19" t="s">
        <v>265</v>
      </c>
      <c r="F28" s="67">
        <v>16</v>
      </c>
      <c r="G28" s="76">
        <v>250.29</v>
      </c>
      <c r="H28" s="76">
        <f t="shared" si="10"/>
        <v>4004.64</v>
      </c>
      <c r="I28" s="64">
        <v>400</v>
      </c>
      <c r="J28" s="64"/>
      <c r="K28" s="76">
        <f>VLOOKUP($H$28,Tabisr,1)</f>
        <v>3651.01</v>
      </c>
      <c r="L28" s="72">
        <f t="shared" si="11"/>
        <v>353.62999999999965</v>
      </c>
      <c r="M28" s="77">
        <f>VLOOKUP($H$28,Tabisr,4)</f>
        <v>0.16</v>
      </c>
      <c r="N28" s="76">
        <f>(H28-3651.01)*16%</f>
        <v>56.580799999999947</v>
      </c>
      <c r="O28" s="76">
        <v>293.25</v>
      </c>
      <c r="P28" s="76">
        <f>N28+O28</f>
        <v>349.83079999999995</v>
      </c>
      <c r="Q28" s="76">
        <v>0</v>
      </c>
      <c r="R28" s="64"/>
      <c r="S28" s="64"/>
      <c r="T28" s="64"/>
      <c r="U28" s="64"/>
      <c r="V28" s="72">
        <f t="shared" si="12"/>
        <v>4054.8091999999997</v>
      </c>
      <c r="W28" s="72">
        <f t="shared" si="13"/>
        <v>3654.8091999999997</v>
      </c>
      <c r="Y28" s="14">
        <f t="shared" si="14"/>
        <v>4054.8091999999997</v>
      </c>
      <c r="Z28" s="14">
        <f t="shared" si="15"/>
        <v>3654.8091999999997</v>
      </c>
    </row>
    <row r="29" spans="1:27" s="10" customFormat="1" x14ac:dyDescent="0.25">
      <c r="A29" s="32">
        <v>46</v>
      </c>
      <c r="B29" s="48">
        <v>1585781518</v>
      </c>
      <c r="C29" s="16" t="s">
        <v>198</v>
      </c>
      <c r="D29" s="168" t="s">
        <v>657</v>
      </c>
      <c r="E29" s="19" t="s">
        <v>221</v>
      </c>
      <c r="F29" s="67">
        <v>16</v>
      </c>
      <c r="G29" s="91">
        <v>594.66999999999996</v>
      </c>
      <c r="H29" s="76">
        <f>F29*G29</f>
        <v>9514.7199999999993</v>
      </c>
      <c r="I29" s="76"/>
      <c r="J29" s="76"/>
      <c r="K29" s="76">
        <v>5081</v>
      </c>
      <c r="L29" s="72">
        <f>+H29-K29</f>
        <v>4433.7199999999993</v>
      </c>
      <c r="M29" s="77">
        <v>0.21360000000000001</v>
      </c>
      <c r="N29" s="76">
        <f>(H29-5081.01)*21.36%</f>
        <v>947.04045599999972</v>
      </c>
      <c r="O29" s="76">
        <v>538.20000000000005</v>
      </c>
      <c r="P29" s="76">
        <f>N29+O29</f>
        <v>1485.2404559999998</v>
      </c>
      <c r="Q29" s="76">
        <f>VLOOKUP($H$90,Tabsub,3)</f>
        <v>0</v>
      </c>
      <c r="R29" s="76">
        <v>3400</v>
      </c>
      <c r="S29" s="76"/>
      <c r="T29" s="76"/>
      <c r="U29" s="76"/>
      <c r="V29" s="72">
        <f>H29+I29+J29-P29+Q29-R29-S29-T29-U29</f>
        <v>4629.4795439999998</v>
      </c>
      <c r="W29" s="72">
        <f>V29-I29</f>
        <v>4629.4795439999998</v>
      </c>
      <c r="Y29" s="14">
        <f>+H29+I29+J29+Q29-P29-R29-S29-T29-U29</f>
        <v>4629.4795439999998</v>
      </c>
      <c r="Z29" s="14">
        <f>+V29-I29</f>
        <v>4629.4795439999998</v>
      </c>
    </row>
    <row r="30" spans="1:27" s="10" customFormat="1" x14ac:dyDescent="0.25">
      <c r="A30" s="34"/>
      <c r="B30" s="53"/>
      <c r="C30" s="163"/>
      <c r="D30" s="27"/>
      <c r="E30" s="233"/>
      <c r="F30" s="73"/>
      <c r="G30" s="74"/>
      <c r="H30" s="80">
        <f>SUM(H24:H29)</f>
        <v>54651.039999999994</v>
      </c>
      <c r="I30" s="80">
        <f>SUM(I24:I29)</f>
        <v>400</v>
      </c>
      <c r="J30" s="80">
        <f t="shared" ref="J30:W30" si="16">SUM(J24:J29)</f>
        <v>0</v>
      </c>
      <c r="K30" s="80">
        <f t="shared" si="16"/>
        <v>35047.040000000001</v>
      </c>
      <c r="L30" s="80">
        <f t="shared" si="16"/>
        <v>19604</v>
      </c>
      <c r="M30" s="80">
        <f t="shared" si="16"/>
        <v>1.1008</v>
      </c>
      <c r="N30" s="80">
        <f t="shared" si="16"/>
        <v>4608.7262399999991</v>
      </c>
      <c r="O30" s="80">
        <f t="shared" si="16"/>
        <v>4938.45</v>
      </c>
      <c r="P30" s="80">
        <f t="shared" si="16"/>
        <v>9440.5402479999993</v>
      </c>
      <c r="Q30" s="80">
        <f t="shared" si="16"/>
        <v>0</v>
      </c>
      <c r="R30" s="80">
        <f t="shared" si="16"/>
        <v>8150</v>
      </c>
      <c r="S30" s="80">
        <f t="shared" si="16"/>
        <v>5200</v>
      </c>
      <c r="T30" s="80">
        <f t="shared" si="16"/>
        <v>0</v>
      </c>
      <c r="U30" s="80">
        <f t="shared" si="16"/>
        <v>0</v>
      </c>
      <c r="V30" s="80">
        <f t="shared" si="16"/>
        <v>32260.499752000003</v>
      </c>
      <c r="W30" s="80">
        <f t="shared" si="16"/>
        <v>31860.499752000003</v>
      </c>
      <c r="Y30" s="15">
        <f>+SUM(Y24:Y29)</f>
        <v>32260.499752000003</v>
      </c>
      <c r="Z30" s="15">
        <f>+SUM(Z24:Z29)</f>
        <v>31860.499752000003</v>
      </c>
    </row>
    <row r="31" spans="1:27" s="10" customFormat="1" x14ac:dyDescent="0.25">
      <c r="A31" s="34"/>
      <c r="B31" s="53"/>
      <c r="C31" s="163"/>
      <c r="D31" s="27"/>
      <c r="E31" s="233"/>
      <c r="F31" s="73"/>
      <c r="G31" s="74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Y31" s="15"/>
      <c r="Z31" s="15"/>
    </row>
    <row r="32" spans="1:27" s="10" customFormat="1" x14ac:dyDescent="0.25">
      <c r="A32" s="34"/>
      <c r="B32" s="53"/>
      <c r="C32" s="163"/>
      <c r="D32" s="27"/>
      <c r="E32" s="233"/>
      <c r="F32" s="73"/>
      <c r="G32" s="74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Y32" s="15"/>
      <c r="Z32" s="15"/>
    </row>
    <row r="33" spans="1:26" s="10" customFormat="1" ht="18.75" x14ac:dyDescent="0.25">
      <c r="A33" s="277" t="s">
        <v>384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9"/>
      <c r="Y33" s="14"/>
      <c r="Z33" s="14"/>
    </row>
    <row r="34" spans="1:26" s="10" customFormat="1" ht="33.75" customHeight="1" x14ac:dyDescent="0.25">
      <c r="A34" s="31" t="s">
        <v>69</v>
      </c>
      <c r="B34" s="52" t="s">
        <v>588</v>
      </c>
      <c r="C34" s="31" t="s">
        <v>17</v>
      </c>
      <c r="D34" s="31" t="s">
        <v>161</v>
      </c>
      <c r="E34" s="31" t="s">
        <v>143</v>
      </c>
      <c r="F34" s="31" t="s">
        <v>27</v>
      </c>
      <c r="G34" s="31" t="s">
        <v>19</v>
      </c>
      <c r="H34" s="31" t="s">
        <v>18</v>
      </c>
      <c r="I34" s="31" t="s">
        <v>66</v>
      </c>
      <c r="J34" s="31" t="s">
        <v>74</v>
      </c>
      <c r="K34" s="50" t="s">
        <v>301</v>
      </c>
      <c r="L34" s="50" t="s">
        <v>302</v>
      </c>
      <c r="M34" s="50" t="s">
        <v>303</v>
      </c>
      <c r="N34" s="50" t="s">
        <v>304</v>
      </c>
      <c r="O34" s="31" t="s">
        <v>305</v>
      </c>
      <c r="P34" s="31" t="s">
        <v>67</v>
      </c>
      <c r="Q34" s="31" t="s">
        <v>68</v>
      </c>
      <c r="R34" s="31" t="s">
        <v>20</v>
      </c>
      <c r="S34" s="31" t="s">
        <v>452</v>
      </c>
      <c r="T34" s="31" t="s">
        <v>72</v>
      </c>
      <c r="U34" s="31" t="s">
        <v>157</v>
      </c>
      <c r="V34" s="31" t="s">
        <v>155</v>
      </c>
      <c r="W34" s="31" t="s">
        <v>156</v>
      </c>
      <c r="Y34" s="14"/>
      <c r="Z34" s="14"/>
    </row>
    <row r="35" spans="1:26" s="10" customFormat="1" x14ac:dyDescent="0.25">
      <c r="A35" s="32">
        <v>18</v>
      </c>
      <c r="B35" s="48">
        <v>1585781330</v>
      </c>
      <c r="C35" s="16" t="s">
        <v>192</v>
      </c>
      <c r="D35" s="16" t="s">
        <v>202</v>
      </c>
      <c r="E35" s="21" t="s">
        <v>223</v>
      </c>
      <c r="F35" s="32">
        <v>16</v>
      </c>
      <c r="G35" s="32">
        <v>824.36</v>
      </c>
      <c r="H35" s="215">
        <f>G35*F35</f>
        <v>13189.76</v>
      </c>
      <c r="I35" s="32"/>
      <c r="J35" s="32"/>
      <c r="K35" s="32">
        <v>5081.01</v>
      </c>
      <c r="L35" s="81">
        <f>H35-K35</f>
        <v>8108.75</v>
      </c>
      <c r="M35" s="77">
        <v>0.21360000000000001</v>
      </c>
      <c r="N35" s="76">
        <f>(H35-10248.01)*23.52%</f>
        <v>691.89959999999996</v>
      </c>
      <c r="O35" s="76">
        <v>1641.75</v>
      </c>
      <c r="P35" s="76">
        <f>O35+N35</f>
        <v>2333.6495999999997</v>
      </c>
      <c r="Q35" s="32"/>
      <c r="R35" s="32"/>
      <c r="S35" s="32"/>
      <c r="T35" s="32"/>
      <c r="U35" s="32"/>
      <c r="V35" s="72">
        <f>H35+I35+J35-P35+Q35-R35-S35-T35-U35</f>
        <v>10856.110400000001</v>
      </c>
      <c r="W35" s="72">
        <f>V35-I35</f>
        <v>10856.110400000001</v>
      </c>
      <c r="Y35" s="14">
        <f t="shared" ref="Y35:Y40" si="17">+H35+I35+J35+Q35-P35-R35-S35-T35-U35</f>
        <v>10856.110400000001</v>
      </c>
      <c r="Z35" s="14">
        <f t="shared" ref="Z35:Z40" si="18">+V35-I35</f>
        <v>10856.110400000001</v>
      </c>
    </row>
    <row r="36" spans="1:26" s="10" customFormat="1" x14ac:dyDescent="0.25">
      <c r="A36" s="32">
        <v>19</v>
      </c>
      <c r="B36" s="48">
        <v>1585781348</v>
      </c>
      <c r="C36" s="16" t="s">
        <v>453</v>
      </c>
      <c r="D36" s="19" t="s">
        <v>175</v>
      </c>
      <c r="E36" s="21" t="s">
        <v>454</v>
      </c>
      <c r="F36" s="32">
        <v>16</v>
      </c>
      <c r="G36" s="76">
        <v>296.54000000000002</v>
      </c>
      <c r="H36" s="216">
        <f>F36*G36</f>
        <v>4744.6400000000003</v>
      </c>
      <c r="I36" s="76">
        <v>400</v>
      </c>
      <c r="J36" s="76"/>
      <c r="K36" s="76">
        <f>VLOOKUP($H$369,Tabisr,1)</f>
        <v>5081.01</v>
      </c>
      <c r="L36" s="72">
        <f>+H36-K36</f>
        <v>-336.36999999999989</v>
      </c>
      <c r="M36" s="77">
        <f>VLOOKUP($H$369,Tabisr,4)</f>
        <v>0.21360000000000001</v>
      </c>
      <c r="N36" s="76">
        <f>(H36-4244.01)*17.92%</f>
        <v>89.712896000000029</v>
      </c>
      <c r="O36" s="76">
        <v>388.05</v>
      </c>
      <c r="P36" s="76">
        <f>O36+N36</f>
        <v>477.76289600000007</v>
      </c>
      <c r="Q36" s="76">
        <f>VLOOKUP($H$48,Tabsub,3)</f>
        <v>0</v>
      </c>
      <c r="R36" s="76"/>
      <c r="S36" s="76">
        <v>898</v>
      </c>
      <c r="T36" s="76"/>
      <c r="U36" s="76">
        <v>500</v>
      </c>
      <c r="V36" s="72">
        <f>H36+I36+J36-P36+Q36-R36-S36-T36-U36</f>
        <v>3268.8771040000001</v>
      </c>
      <c r="W36" s="72">
        <f>V36-I36</f>
        <v>2868.8771040000001</v>
      </c>
      <c r="Y36" s="14">
        <f t="shared" si="17"/>
        <v>3268.8771040000001</v>
      </c>
      <c r="Z36" s="14">
        <f t="shared" si="18"/>
        <v>2868.8771040000001</v>
      </c>
    </row>
    <row r="37" spans="1:26" s="10" customFormat="1" x14ac:dyDescent="0.25">
      <c r="A37" s="32">
        <v>20</v>
      </c>
      <c r="B37" s="48">
        <v>1573205037</v>
      </c>
      <c r="C37" s="16" t="s">
        <v>547</v>
      </c>
      <c r="D37" s="231" t="s">
        <v>655</v>
      </c>
      <c r="E37" s="21" t="s">
        <v>548</v>
      </c>
      <c r="F37" s="32">
        <v>16</v>
      </c>
      <c r="G37" s="76">
        <v>296.54000000000002</v>
      </c>
      <c r="H37" s="216">
        <f>F37*G37</f>
        <v>4744.6400000000003</v>
      </c>
      <c r="I37" s="64">
        <v>400</v>
      </c>
      <c r="J37" s="64"/>
      <c r="K37" s="76">
        <f>VLOOKUP($H$62,Tabisr,1)</f>
        <v>3651.01</v>
      </c>
      <c r="L37" s="72">
        <f>+H37-K37</f>
        <v>1093.6300000000001</v>
      </c>
      <c r="M37" s="77">
        <f>VLOOKUP($H$62,Tabisr,4)</f>
        <v>0.16</v>
      </c>
      <c r="N37" s="76">
        <f>(H37-3651.01)*16%</f>
        <v>174.98080000000002</v>
      </c>
      <c r="O37" s="76">
        <v>293.25</v>
      </c>
      <c r="P37" s="76">
        <f>O37+N37</f>
        <v>468.23080000000004</v>
      </c>
      <c r="Q37" s="76"/>
      <c r="R37" s="64"/>
      <c r="S37" s="64">
        <v>1515</v>
      </c>
      <c r="T37" s="64"/>
      <c r="U37" s="64"/>
      <c r="V37" s="72">
        <f>H37+I37+J37-P37+Q37-R37-S37-T37-U37</f>
        <v>3161.4092000000001</v>
      </c>
      <c r="W37" s="72">
        <f>V37-I37</f>
        <v>2761.4092000000001</v>
      </c>
      <c r="Y37" s="14">
        <f t="shared" si="17"/>
        <v>3161.4092000000001</v>
      </c>
      <c r="Z37" s="14">
        <f t="shared" si="18"/>
        <v>2761.4092000000001</v>
      </c>
    </row>
    <row r="38" spans="1:26" s="10" customFormat="1" x14ac:dyDescent="0.25">
      <c r="A38" s="32">
        <v>21</v>
      </c>
      <c r="B38" s="48">
        <v>1565342956</v>
      </c>
      <c r="C38" s="16" t="s">
        <v>424</v>
      </c>
      <c r="D38" s="168" t="s">
        <v>654</v>
      </c>
      <c r="E38" s="173" t="s">
        <v>544</v>
      </c>
      <c r="F38" s="32">
        <v>16</v>
      </c>
      <c r="G38" s="76">
        <v>250.29</v>
      </c>
      <c r="H38" s="216">
        <f>F38*G38</f>
        <v>4004.64</v>
      </c>
      <c r="I38" s="64">
        <v>400</v>
      </c>
      <c r="J38" s="64"/>
      <c r="K38" s="76">
        <f>VLOOKUP($H$62,Tabisr,1)</f>
        <v>3651.01</v>
      </c>
      <c r="L38" s="72">
        <f>+H38-K38</f>
        <v>353.62999999999965</v>
      </c>
      <c r="M38" s="77">
        <f>VLOOKUP($H$62,Tabisr,4)</f>
        <v>0.16</v>
      </c>
      <c r="N38" s="76">
        <f>(H38-3651.01)*16%</f>
        <v>56.580799999999947</v>
      </c>
      <c r="O38" s="76">
        <v>293.25</v>
      </c>
      <c r="P38" s="76">
        <f>O38+N38</f>
        <v>349.83079999999995</v>
      </c>
      <c r="Q38" s="76"/>
      <c r="R38" s="64">
        <v>1200</v>
      </c>
      <c r="S38" s="64"/>
      <c r="T38" s="64"/>
      <c r="U38" s="64"/>
      <c r="V38" s="72">
        <f>H38+I38+J38-P38+Q38-R38-S38-T38-U38</f>
        <v>2854.8091999999997</v>
      </c>
      <c r="W38" s="72">
        <f>V38-I38</f>
        <v>2454.8091999999997</v>
      </c>
      <c r="Y38" s="14">
        <f t="shared" si="17"/>
        <v>2854.8091999999997</v>
      </c>
      <c r="Z38" s="14">
        <f t="shared" si="18"/>
        <v>2454.8091999999997</v>
      </c>
    </row>
    <row r="39" spans="1:26" s="12" customFormat="1" x14ac:dyDescent="0.25">
      <c r="A39" s="32">
        <v>22</v>
      </c>
      <c r="B39" s="48">
        <v>1588823548</v>
      </c>
      <c r="C39" s="16" t="s">
        <v>631</v>
      </c>
      <c r="D39" s="189" t="s">
        <v>169</v>
      </c>
      <c r="E39" s="21" t="s">
        <v>632</v>
      </c>
      <c r="F39" s="32">
        <v>16</v>
      </c>
      <c r="G39" s="76">
        <v>250.29</v>
      </c>
      <c r="H39" s="216">
        <f>F39*G39</f>
        <v>4004.64</v>
      </c>
      <c r="I39" s="64">
        <v>400</v>
      </c>
      <c r="J39" s="64"/>
      <c r="K39" s="76">
        <f>VLOOKUP($H$28,Tabisr,1)</f>
        <v>3651.01</v>
      </c>
      <c r="L39" s="72">
        <f>+H39-K39</f>
        <v>353.62999999999965</v>
      </c>
      <c r="M39" s="77">
        <f>VLOOKUP($H$28,Tabisr,4)</f>
        <v>0.16</v>
      </c>
      <c r="N39" s="76">
        <f>(H39-3651.01)*16%</f>
        <v>56.580799999999947</v>
      </c>
      <c r="O39" s="76">
        <v>293.25</v>
      </c>
      <c r="P39" s="76">
        <f>N39+O39</f>
        <v>349.83079999999995</v>
      </c>
      <c r="Q39" s="76">
        <v>0</v>
      </c>
      <c r="R39" s="64"/>
      <c r="S39" s="64"/>
      <c r="T39" s="64"/>
      <c r="U39" s="64"/>
      <c r="V39" s="72">
        <f>H39+I39+J39-P39+Q39-R39-S39-T39-U39</f>
        <v>4054.8091999999997</v>
      </c>
      <c r="W39" s="72">
        <f>V39-I39</f>
        <v>3654.8091999999997</v>
      </c>
      <c r="Y39" s="25">
        <f t="shared" si="17"/>
        <v>4054.8091999999997</v>
      </c>
      <c r="Z39" s="25">
        <f t="shared" si="18"/>
        <v>3654.8091999999997</v>
      </c>
    </row>
    <row r="40" spans="1:26" s="10" customFormat="1" x14ac:dyDescent="0.25">
      <c r="A40" s="38"/>
      <c r="B40" s="54"/>
      <c r="C40" s="165" t="s">
        <v>458</v>
      </c>
      <c r="D40" s="23" t="s">
        <v>342</v>
      </c>
      <c r="E40" s="204"/>
      <c r="F40" s="82"/>
      <c r="G40" s="83"/>
      <c r="H40" s="217"/>
      <c r="I40" s="84"/>
      <c r="J40" s="84"/>
      <c r="K40" s="83"/>
      <c r="L40" s="85"/>
      <c r="M40" s="86"/>
      <c r="N40" s="83"/>
      <c r="O40" s="83"/>
      <c r="P40" s="84"/>
      <c r="Q40" s="83"/>
      <c r="R40" s="84"/>
      <c r="S40" s="84"/>
      <c r="T40" s="84"/>
      <c r="U40" s="84"/>
      <c r="V40" s="85"/>
      <c r="W40" s="85"/>
      <c r="Y40" s="14">
        <f t="shared" si="17"/>
        <v>0</v>
      </c>
      <c r="Z40" s="14">
        <f t="shared" si="18"/>
        <v>0</v>
      </c>
    </row>
    <row r="41" spans="1:26" s="10" customFormat="1" x14ac:dyDescent="0.25">
      <c r="A41" s="34"/>
      <c r="B41" s="53"/>
      <c r="C41" s="163"/>
      <c r="D41" s="27"/>
      <c r="E41" s="233"/>
      <c r="F41" s="73"/>
      <c r="G41" s="74"/>
      <c r="H41" s="218">
        <f>SUM(H35:H40)</f>
        <v>30688.32</v>
      </c>
      <c r="I41" s="80">
        <f>SUM(I35:I40)</f>
        <v>1600</v>
      </c>
      <c r="J41" s="80">
        <f t="shared" ref="J41:O41" si="19">SUM(J35:J40)</f>
        <v>0</v>
      </c>
      <c r="K41" s="80">
        <f t="shared" si="19"/>
        <v>21115.050000000003</v>
      </c>
      <c r="L41" s="80">
        <f t="shared" si="19"/>
        <v>9573.2699999999986</v>
      </c>
      <c r="M41" s="80">
        <f t="shared" si="19"/>
        <v>0.90720000000000012</v>
      </c>
      <c r="N41" s="80">
        <f t="shared" si="19"/>
        <v>1069.7548959999999</v>
      </c>
      <c r="O41" s="80">
        <f t="shared" si="19"/>
        <v>2909.55</v>
      </c>
      <c r="P41" s="80">
        <f t="shared" ref="P41:W41" si="20">SUM(P35:P40)</f>
        <v>3979.3048959999996</v>
      </c>
      <c r="Q41" s="80">
        <f t="shared" si="20"/>
        <v>0</v>
      </c>
      <c r="R41" s="80">
        <f t="shared" si="20"/>
        <v>1200</v>
      </c>
      <c r="S41" s="80">
        <f t="shared" si="20"/>
        <v>2413</v>
      </c>
      <c r="T41" s="80">
        <f t="shared" si="20"/>
        <v>0</v>
      </c>
      <c r="U41" s="80">
        <f t="shared" si="20"/>
        <v>500</v>
      </c>
      <c r="V41" s="80">
        <f t="shared" si="20"/>
        <v>24196.015103999998</v>
      </c>
      <c r="W41" s="80">
        <f t="shared" si="20"/>
        <v>22596.015103999998</v>
      </c>
      <c r="Y41" s="15">
        <f>+SUM(Y35:Y40)</f>
        <v>24196.015103999998</v>
      </c>
      <c r="Z41" s="15">
        <f>+SUM(Z35:Z40)</f>
        <v>22596.015103999998</v>
      </c>
    </row>
    <row r="42" spans="1:26" s="10" customFormat="1" x14ac:dyDescent="0.25">
      <c r="A42" s="34"/>
      <c r="B42" s="53"/>
      <c r="C42" s="163"/>
      <c r="D42" s="27"/>
      <c r="E42" s="233"/>
      <c r="F42" s="73"/>
      <c r="G42" s="74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Y42" s="15"/>
      <c r="Z42" s="15"/>
    </row>
    <row r="43" spans="1:26" s="10" customFormat="1" x14ac:dyDescent="0.25">
      <c r="A43" s="34"/>
      <c r="B43" s="53"/>
      <c r="C43" s="163"/>
      <c r="D43" s="27"/>
      <c r="E43" s="233"/>
      <c r="F43" s="73"/>
      <c r="G43" s="74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Y43" s="14"/>
      <c r="Z43" s="14"/>
    </row>
    <row r="44" spans="1:26" s="10" customFormat="1" ht="18.75" x14ac:dyDescent="0.25">
      <c r="A44" s="277" t="s">
        <v>385</v>
      </c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9"/>
      <c r="Y44" s="14"/>
      <c r="Z44" s="14"/>
    </row>
    <row r="45" spans="1:26" s="10" customFormat="1" ht="34.5" customHeight="1" x14ac:dyDescent="0.25">
      <c r="A45" s="31" t="s">
        <v>69</v>
      </c>
      <c r="B45" s="52" t="s">
        <v>588</v>
      </c>
      <c r="C45" s="31" t="s">
        <v>17</v>
      </c>
      <c r="D45" s="31" t="s">
        <v>161</v>
      </c>
      <c r="E45" s="31" t="s">
        <v>143</v>
      </c>
      <c r="F45" s="31" t="s">
        <v>27</v>
      </c>
      <c r="G45" s="31" t="s">
        <v>19</v>
      </c>
      <c r="H45" s="31" t="s">
        <v>18</v>
      </c>
      <c r="I45" s="31" t="s">
        <v>66</v>
      </c>
      <c r="J45" s="31" t="s">
        <v>74</v>
      </c>
      <c r="K45" s="50" t="s">
        <v>301</v>
      </c>
      <c r="L45" s="50" t="s">
        <v>302</v>
      </c>
      <c r="M45" s="50" t="s">
        <v>303</v>
      </c>
      <c r="N45" s="50" t="s">
        <v>304</v>
      </c>
      <c r="O45" s="31" t="s">
        <v>305</v>
      </c>
      <c r="P45" s="31" t="s">
        <v>67</v>
      </c>
      <c r="Q45" s="31" t="s">
        <v>68</v>
      </c>
      <c r="R45" s="31" t="s">
        <v>20</v>
      </c>
      <c r="S45" s="31" t="s">
        <v>452</v>
      </c>
      <c r="T45" s="31" t="s">
        <v>72</v>
      </c>
      <c r="U45" s="31" t="s">
        <v>157</v>
      </c>
      <c r="V45" s="31" t="s">
        <v>155</v>
      </c>
      <c r="W45" s="31" t="s">
        <v>156</v>
      </c>
      <c r="Y45" s="14"/>
      <c r="Z45" s="14"/>
    </row>
    <row r="46" spans="1:26" s="10" customFormat="1" x14ac:dyDescent="0.25">
      <c r="A46" s="32">
        <v>242</v>
      </c>
      <c r="B46" s="48">
        <v>1598410260</v>
      </c>
      <c r="C46" s="16" t="s">
        <v>659</v>
      </c>
      <c r="D46" s="19" t="s">
        <v>167</v>
      </c>
      <c r="E46" s="19" t="s">
        <v>673</v>
      </c>
      <c r="F46" s="67">
        <v>16</v>
      </c>
      <c r="G46" s="76">
        <v>824.36</v>
      </c>
      <c r="H46" s="76">
        <f>F46*G46</f>
        <v>13189.76</v>
      </c>
      <c r="I46" s="76"/>
      <c r="J46" s="87"/>
      <c r="K46" s="76">
        <v>5081.01</v>
      </c>
      <c r="L46" s="72">
        <f>H46-K46</f>
        <v>8108.75</v>
      </c>
      <c r="M46" s="77">
        <v>0.21360000000000001</v>
      </c>
      <c r="N46" s="76">
        <f>(H46-10248.01)*23.52%</f>
        <v>691.89959999999996</v>
      </c>
      <c r="O46" s="76">
        <v>1641.75</v>
      </c>
      <c r="P46" s="76">
        <f>O46+N46</f>
        <v>2333.6495999999997</v>
      </c>
      <c r="Q46" s="76">
        <f>VLOOKUP($H$164,Tabsub,3)</f>
        <v>0</v>
      </c>
      <c r="R46" s="32"/>
      <c r="S46" s="32"/>
      <c r="T46" s="76"/>
      <c r="U46" s="76"/>
      <c r="V46" s="72">
        <f>H46+I46+J46-P46+Q46-R46-S46-T46-U46</f>
        <v>10856.110400000001</v>
      </c>
      <c r="W46" s="72">
        <f>V46-I46</f>
        <v>10856.110400000001</v>
      </c>
      <c r="Y46" s="14">
        <f>+H46+I46+J46+Q46-P46-R46-S46-T46-U46</f>
        <v>10856.110400000001</v>
      </c>
      <c r="Z46" s="14">
        <f>+V46-I46</f>
        <v>10856.110400000001</v>
      </c>
    </row>
    <row r="47" spans="1:26" s="10" customFormat="1" x14ac:dyDescent="0.25">
      <c r="A47" s="32">
        <v>25</v>
      </c>
      <c r="B47" s="48">
        <v>1585781364</v>
      </c>
      <c r="C47" s="16" t="s">
        <v>496</v>
      </c>
      <c r="D47" s="19" t="s">
        <v>497</v>
      </c>
      <c r="E47" s="19" t="s">
        <v>498</v>
      </c>
      <c r="F47" s="67">
        <v>16</v>
      </c>
      <c r="G47" s="76">
        <v>594.66999999999996</v>
      </c>
      <c r="H47" s="76">
        <f>F47*G47</f>
        <v>9514.7199999999993</v>
      </c>
      <c r="I47" s="76"/>
      <c r="J47" s="87"/>
      <c r="K47" s="76">
        <v>5081</v>
      </c>
      <c r="L47" s="72">
        <f>+H47-K47</f>
        <v>4433.7199999999993</v>
      </c>
      <c r="M47" s="77">
        <v>0.21360000000000001</v>
      </c>
      <c r="N47" s="76">
        <f>(H47-5081.01)*21.36%</f>
        <v>947.04045599999972</v>
      </c>
      <c r="O47" s="76">
        <v>538.20000000000005</v>
      </c>
      <c r="P47" s="214">
        <f>N47+O47</f>
        <v>1485.2404559999998</v>
      </c>
      <c r="Q47" s="76"/>
      <c r="R47" s="76"/>
      <c r="S47" s="76"/>
      <c r="T47" s="76"/>
      <c r="U47" s="76"/>
      <c r="V47" s="72">
        <f>H47+I47+J47-P47+Q47-R47-T47-U47</f>
        <v>8029.4795439999998</v>
      </c>
      <c r="W47" s="72">
        <f>V47-I47</f>
        <v>8029.4795439999998</v>
      </c>
      <c r="Y47" s="14">
        <f>+H47+I47+J47+Q47-P47-R47-S47-T47-U47</f>
        <v>8029.4795439999998</v>
      </c>
      <c r="Z47" s="14">
        <f>+V47-I47</f>
        <v>8029.4795439999998</v>
      </c>
    </row>
    <row r="48" spans="1:26" s="10" customFormat="1" x14ac:dyDescent="0.25">
      <c r="A48" s="32">
        <v>26</v>
      </c>
      <c r="B48" s="166">
        <v>1578860762</v>
      </c>
      <c r="C48" s="158" t="s">
        <v>220</v>
      </c>
      <c r="D48" s="158" t="s">
        <v>361</v>
      </c>
      <c r="E48" s="21" t="s">
        <v>224</v>
      </c>
      <c r="F48" s="67">
        <v>16</v>
      </c>
      <c r="G48" s="64">
        <v>393.95</v>
      </c>
      <c r="H48" s="65">
        <f>F48*G48</f>
        <v>6303.2</v>
      </c>
      <c r="I48" s="64">
        <v>400</v>
      </c>
      <c r="J48" s="64"/>
      <c r="K48" s="64">
        <f>VLOOKUP($H$206,Tabisr,1)</f>
        <v>5081.01</v>
      </c>
      <c r="L48" s="65">
        <f>+H48-K48</f>
        <v>1222.1899999999996</v>
      </c>
      <c r="M48" s="66">
        <f>VLOOKUP($H$206,Tabisr,4)</f>
        <v>0.21360000000000001</v>
      </c>
      <c r="N48" s="64">
        <f>+L48*M48</f>
        <v>261.05978399999992</v>
      </c>
      <c r="O48" s="64">
        <f>VLOOKUP($H$206,Tabisr,3)</f>
        <v>538.20000000000005</v>
      </c>
      <c r="P48" s="64">
        <f>+N48+O48</f>
        <v>799.25978399999997</v>
      </c>
      <c r="Q48" s="64">
        <f>VLOOKUP($H$369,Tabsub,3)</f>
        <v>0</v>
      </c>
      <c r="R48" s="64">
        <v>1350</v>
      </c>
      <c r="S48" s="64"/>
      <c r="T48" s="64"/>
      <c r="U48" s="64"/>
      <c r="V48" s="65">
        <f>H48+I48+J48-P48+Q48-R48-T48-U48</f>
        <v>4553.940216</v>
      </c>
      <c r="W48" s="65">
        <f>V48-I48</f>
        <v>4153.940216</v>
      </c>
      <c r="Y48" s="14">
        <f>+H48+I48+J48+Q48-P48-R48-S48-T48-U48</f>
        <v>4553.940216</v>
      </c>
      <c r="Z48" s="14">
        <f>+V48-I48</f>
        <v>4153.940216</v>
      </c>
    </row>
    <row r="49" spans="1:26" s="10" customFormat="1" x14ac:dyDescent="0.25">
      <c r="A49" s="32">
        <v>28</v>
      </c>
      <c r="B49" s="48">
        <v>1585782964</v>
      </c>
      <c r="C49" s="196" t="s">
        <v>612</v>
      </c>
      <c r="D49" s="161" t="s">
        <v>163</v>
      </c>
      <c r="E49" s="196" t="s">
        <v>567</v>
      </c>
      <c r="F49" s="67">
        <v>16</v>
      </c>
      <c r="G49" s="76">
        <v>250.29</v>
      </c>
      <c r="H49" s="76">
        <f>F49*G49</f>
        <v>4004.64</v>
      </c>
      <c r="I49" s="76">
        <v>400</v>
      </c>
      <c r="J49" s="76"/>
      <c r="K49" s="76">
        <v>4244.01</v>
      </c>
      <c r="L49" s="72">
        <f>+H49-K49</f>
        <v>-239.37000000000035</v>
      </c>
      <c r="M49" s="77">
        <v>0.1792</v>
      </c>
      <c r="N49" s="76">
        <f>(H49-3651.01)*16%</f>
        <v>56.580799999999947</v>
      </c>
      <c r="O49" s="76">
        <v>293.25</v>
      </c>
      <c r="P49" s="76">
        <f>O49+N49</f>
        <v>349.83079999999995</v>
      </c>
      <c r="Q49" s="76"/>
      <c r="R49" s="76"/>
      <c r="S49" s="76"/>
      <c r="T49" s="76"/>
      <c r="U49" s="76"/>
      <c r="V49" s="72">
        <f>H49+I49+J49-P49+Q49-R49-T49-U49</f>
        <v>4054.8091999999997</v>
      </c>
      <c r="W49" s="72">
        <f>V49-I49</f>
        <v>3654.8091999999997</v>
      </c>
      <c r="Y49" s="14">
        <f>+H346+I346+J346+Q346-P346-R346-S346-T346-U346</f>
        <v>4054.8091999999997</v>
      </c>
      <c r="Z49" s="14">
        <f>+V346-I346</f>
        <v>3654.8091999999997</v>
      </c>
    </row>
    <row r="50" spans="1:26" s="10" customFormat="1" x14ac:dyDescent="0.25">
      <c r="A50" s="34"/>
      <c r="B50" s="53"/>
      <c r="C50" s="169"/>
      <c r="D50" s="170"/>
      <c r="E50" s="234"/>
      <c r="F50" s="88"/>
      <c r="G50" s="88"/>
      <c r="H50" s="89">
        <f>SUM(H46:H49)</f>
        <v>33012.32</v>
      </c>
      <c r="I50" s="212">
        <f t="shared" ref="I50:W50" si="21">SUM(I46:I49)</f>
        <v>800</v>
      </c>
      <c r="J50" s="212">
        <f t="shared" si="21"/>
        <v>0</v>
      </c>
      <c r="K50" s="212">
        <f t="shared" si="21"/>
        <v>19487.03</v>
      </c>
      <c r="L50" s="212">
        <f t="shared" si="21"/>
        <v>13525.289999999999</v>
      </c>
      <c r="M50" s="212">
        <f t="shared" si="21"/>
        <v>0.82000000000000006</v>
      </c>
      <c r="N50" s="212">
        <f t="shared" si="21"/>
        <v>1956.5806399999994</v>
      </c>
      <c r="O50" s="212">
        <f t="shared" si="21"/>
        <v>3011.3999999999996</v>
      </c>
      <c r="P50" s="212">
        <f t="shared" si="21"/>
        <v>4967.9806399999989</v>
      </c>
      <c r="Q50" s="212">
        <f t="shared" si="21"/>
        <v>0</v>
      </c>
      <c r="R50" s="212">
        <f t="shared" si="21"/>
        <v>1350</v>
      </c>
      <c r="S50" s="212">
        <f t="shared" si="21"/>
        <v>0</v>
      </c>
      <c r="T50" s="212">
        <f t="shared" si="21"/>
        <v>0</v>
      </c>
      <c r="U50" s="212">
        <f t="shared" si="21"/>
        <v>0</v>
      </c>
      <c r="V50" s="212">
        <f t="shared" si="21"/>
        <v>27494.339359999998</v>
      </c>
      <c r="W50" s="212">
        <f t="shared" si="21"/>
        <v>26694.339359999998</v>
      </c>
      <c r="Y50" s="15">
        <f>+SUM(Y46:Y49)</f>
        <v>27494.339359999998</v>
      </c>
      <c r="Z50" s="15">
        <f>+SUM(Z46:Z49)</f>
        <v>26694.339359999998</v>
      </c>
    </row>
    <row r="51" spans="1:26" s="10" customFormat="1" x14ac:dyDescent="0.25">
      <c r="A51" s="34"/>
      <c r="B51" s="53"/>
      <c r="C51" s="169"/>
      <c r="D51" s="170"/>
      <c r="E51" s="234"/>
      <c r="F51" s="88"/>
      <c r="G51" s="88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Y51" s="14"/>
      <c r="Z51" s="14"/>
    </row>
    <row r="52" spans="1:26" s="10" customFormat="1" ht="18.75" x14ac:dyDescent="0.25">
      <c r="A52" s="277" t="s">
        <v>386</v>
      </c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9"/>
      <c r="Y52" s="14"/>
      <c r="Z52" s="14"/>
    </row>
    <row r="53" spans="1:26" s="10" customFormat="1" ht="32.25" customHeight="1" x14ac:dyDescent="0.25">
      <c r="A53" s="31" t="s">
        <v>69</v>
      </c>
      <c r="B53" s="52" t="s">
        <v>588</v>
      </c>
      <c r="C53" s="31" t="s">
        <v>17</v>
      </c>
      <c r="D53" s="31" t="s">
        <v>161</v>
      </c>
      <c r="E53" s="31" t="s">
        <v>143</v>
      </c>
      <c r="F53" s="31" t="s">
        <v>27</v>
      </c>
      <c r="G53" s="31" t="s">
        <v>19</v>
      </c>
      <c r="H53" s="31" t="s">
        <v>18</v>
      </c>
      <c r="I53" s="31" t="s">
        <v>66</v>
      </c>
      <c r="J53" s="31" t="s">
        <v>74</v>
      </c>
      <c r="K53" s="50" t="s">
        <v>301</v>
      </c>
      <c r="L53" s="50" t="s">
        <v>302</v>
      </c>
      <c r="M53" s="50" t="s">
        <v>303</v>
      </c>
      <c r="N53" s="50" t="s">
        <v>304</v>
      </c>
      <c r="O53" s="31" t="s">
        <v>305</v>
      </c>
      <c r="P53" s="31" t="s">
        <v>67</v>
      </c>
      <c r="Q53" s="31" t="s">
        <v>68</v>
      </c>
      <c r="R53" s="31" t="s">
        <v>20</v>
      </c>
      <c r="S53" s="31" t="s">
        <v>452</v>
      </c>
      <c r="T53" s="31" t="s">
        <v>72</v>
      </c>
      <c r="U53" s="31" t="s">
        <v>157</v>
      </c>
      <c r="V53" s="31" t="s">
        <v>155</v>
      </c>
      <c r="W53" s="31" t="s">
        <v>156</v>
      </c>
      <c r="Y53" s="14"/>
      <c r="Z53" s="14"/>
    </row>
    <row r="54" spans="1:26" s="10" customFormat="1" x14ac:dyDescent="0.25">
      <c r="A54" s="32">
        <v>29</v>
      </c>
      <c r="B54" s="48">
        <v>1585781399</v>
      </c>
      <c r="C54" s="171" t="s">
        <v>7</v>
      </c>
      <c r="D54" s="19" t="s">
        <v>246</v>
      </c>
      <c r="E54" s="19" t="s">
        <v>121</v>
      </c>
      <c r="F54" s="67">
        <v>16</v>
      </c>
      <c r="G54" s="76">
        <v>708.01</v>
      </c>
      <c r="H54" s="76">
        <f>F54*G54</f>
        <v>11328.16</v>
      </c>
      <c r="I54" s="64"/>
      <c r="J54" s="64"/>
      <c r="K54" s="76">
        <f>VLOOKUP($H$8,Tabisr,1)</f>
        <v>10248.01</v>
      </c>
      <c r="L54" s="72">
        <f>+H54-K54</f>
        <v>1080.1499999999996</v>
      </c>
      <c r="M54" s="77">
        <f>VLOOKUP($H$8,Tabisr,4)</f>
        <v>0.23519999999999999</v>
      </c>
      <c r="N54" s="76">
        <f>(H54-10248.01)*23.52%</f>
        <v>254.05127999999991</v>
      </c>
      <c r="O54" s="76">
        <v>1641.75</v>
      </c>
      <c r="P54" s="76">
        <f>O54+N54</f>
        <v>1895.8012799999999</v>
      </c>
      <c r="Q54" s="76"/>
      <c r="R54" s="64"/>
      <c r="S54" s="64"/>
      <c r="T54" s="64"/>
      <c r="U54" s="64">
        <v>1500</v>
      </c>
      <c r="V54" s="72">
        <f>H54+I54+J54-P54+Q54-R54-S54-T54-U54</f>
        <v>7932.3587200000002</v>
      </c>
      <c r="W54" s="72">
        <f>V54-I54</f>
        <v>7932.3587200000002</v>
      </c>
      <c r="Y54" s="14">
        <f>+H54+I54+J54+Q54-P54-R54-S54-T54-U54</f>
        <v>7932.3587200000002</v>
      </c>
      <c r="Z54" s="14">
        <f>+V54-I54</f>
        <v>7932.3587200000002</v>
      </c>
    </row>
    <row r="55" spans="1:26" s="10" customFormat="1" x14ac:dyDescent="0.25">
      <c r="A55" s="32">
        <v>30</v>
      </c>
      <c r="B55" s="48">
        <v>1585781404</v>
      </c>
      <c r="C55" s="16" t="s">
        <v>194</v>
      </c>
      <c r="D55" s="16" t="s">
        <v>175</v>
      </c>
      <c r="E55" s="19" t="s">
        <v>248</v>
      </c>
      <c r="F55" s="67">
        <v>16</v>
      </c>
      <c r="G55" s="76">
        <v>296.54000000000002</v>
      </c>
      <c r="H55" s="76">
        <f>F55*G55</f>
        <v>4744.6400000000003</v>
      </c>
      <c r="I55" s="64">
        <v>400</v>
      </c>
      <c r="J55" s="64"/>
      <c r="K55" s="76">
        <f>VLOOKUP($H$369,Tabisr,1)</f>
        <v>5081.01</v>
      </c>
      <c r="L55" s="72">
        <f>+H55-K55</f>
        <v>-336.36999999999989</v>
      </c>
      <c r="M55" s="77">
        <f>VLOOKUP($H$369,Tabisr,4)</f>
        <v>0.21360000000000001</v>
      </c>
      <c r="N55" s="76">
        <f>(H55-4244.01)*17.92%</f>
        <v>89.712896000000029</v>
      </c>
      <c r="O55" s="76">
        <v>388.05</v>
      </c>
      <c r="P55" s="76">
        <f>O55+N55</f>
        <v>477.76289600000007</v>
      </c>
      <c r="Q55" s="76">
        <f>VLOOKUP($H$369,Tabsub,3)</f>
        <v>0</v>
      </c>
      <c r="R55" s="64"/>
      <c r="S55" s="64"/>
      <c r="T55" s="64"/>
      <c r="U55" s="64"/>
      <c r="V55" s="72">
        <f>H55+I55+J55-P55+Q55-R55-T55-U55</f>
        <v>4666.8771040000001</v>
      </c>
      <c r="W55" s="72">
        <f>V55-I55</f>
        <v>4266.8771040000001</v>
      </c>
      <c r="Y55" s="14">
        <f>+H55+I55+J55+Q55-P55-R55-S55-T55-U55</f>
        <v>4666.8771040000001</v>
      </c>
      <c r="Z55" s="14">
        <f>+V55-I55</f>
        <v>4266.8771040000001</v>
      </c>
    </row>
    <row r="56" spans="1:26" s="10" customFormat="1" x14ac:dyDescent="0.25">
      <c r="A56" s="38"/>
      <c r="B56" s="243"/>
      <c r="C56" s="165" t="s">
        <v>618</v>
      </c>
      <c r="D56" s="23" t="s">
        <v>166</v>
      </c>
      <c r="E56" s="23"/>
      <c r="F56" s="82"/>
      <c r="G56" s="83"/>
      <c r="H56" s="83"/>
      <c r="I56" s="83"/>
      <c r="J56" s="38"/>
      <c r="K56" s="83"/>
      <c r="L56" s="85"/>
      <c r="M56" s="86"/>
      <c r="N56" s="83"/>
      <c r="O56" s="83"/>
      <c r="P56" s="83"/>
      <c r="Q56" s="83"/>
      <c r="R56" s="83"/>
      <c r="S56" s="83"/>
      <c r="T56" s="83"/>
      <c r="U56" s="83"/>
      <c r="V56" s="85"/>
      <c r="W56" s="85"/>
      <c r="Y56" s="14">
        <f>+H56+I56+J56+Q56-P56-R56-S56-T56-U56</f>
        <v>0</v>
      </c>
      <c r="Z56" s="14">
        <f>+V56-I56</f>
        <v>0</v>
      </c>
    </row>
    <row r="57" spans="1:26" s="10" customFormat="1" x14ac:dyDescent="0.25">
      <c r="A57" s="34"/>
      <c r="B57" s="53"/>
      <c r="C57" s="163"/>
      <c r="D57" s="27"/>
      <c r="E57" s="233"/>
      <c r="F57" s="73"/>
      <c r="G57" s="74"/>
      <c r="H57" s="80">
        <f>+SUM(H54:H56)</f>
        <v>16072.8</v>
      </c>
      <c r="I57" s="80">
        <f t="shared" ref="I57:O57" si="22">+SUM(I54:I56)</f>
        <v>400</v>
      </c>
      <c r="J57" s="80">
        <f t="shared" si="22"/>
        <v>0</v>
      </c>
      <c r="K57" s="80">
        <f t="shared" si="22"/>
        <v>15329.02</v>
      </c>
      <c r="L57" s="80">
        <f t="shared" si="22"/>
        <v>743.77999999999975</v>
      </c>
      <c r="M57" s="80">
        <f t="shared" si="22"/>
        <v>0.44879999999999998</v>
      </c>
      <c r="N57" s="80">
        <f t="shared" si="22"/>
        <v>343.76417599999991</v>
      </c>
      <c r="O57" s="80">
        <f t="shared" si="22"/>
        <v>2029.8</v>
      </c>
      <c r="P57" s="80">
        <f t="shared" ref="P57:W57" si="23">+SUM(P54:P56)</f>
        <v>2373.5641759999999</v>
      </c>
      <c r="Q57" s="80">
        <f t="shared" si="23"/>
        <v>0</v>
      </c>
      <c r="R57" s="80">
        <f t="shared" si="23"/>
        <v>0</v>
      </c>
      <c r="S57" s="80">
        <f t="shared" si="23"/>
        <v>0</v>
      </c>
      <c r="T57" s="80">
        <f t="shared" si="23"/>
        <v>0</v>
      </c>
      <c r="U57" s="80">
        <f t="shared" si="23"/>
        <v>1500</v>
      </c>
      <c r="V57" s="80">
        <f t="shared" si="23"/>
        <v>12599.235823999999</v>
      </c>
      <c r="W57" s="80">
        <f t="shared" si="23"/>
        <v>12199.235823999999</v>
      </c>
      <c r="Y57" s="15">
        <f>+SUM(Y54:Y56)</f>
        <v>12599.235823999999</v>
      </c>
      <c r="Z57" s="15">
        <f>+SUM(Z54:Z56)</f>
        <v>12199.235823999999</v>
      </c>
    </row>
    <row r="58" spans="1:26" s="10" customFormat="1" x14ac:dyDescent="0.25">
      <c r="A58" s="34"/>
      <c r="B58" s="53"/>
      <c r="C58" s="169"/>
      <c r="D58" s="170"/>
      <c r="E58" s="234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Y58" s="14"/>
      <c r="Z58" s="14"/>
    </row>
    <row r="59" spans="1:26" s="10" customFormat="1" ht="18.75" x14ac:dyDescent="0.25">
      <c r="A59" s="277" t="s">
        <v>387</v>
      </c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9"/>
      <c r="Y59" s="14"/>
      <c r="Z59" s="14"/>
    </row>
    <row r="60" spans="1:26" s="10" customFormat="1" ht="32.25" customHeight="1" x14ac:dyDescent="0.25">
      <c r="A60" s="31" t="s">
        <v>69</v>
      </c>
      <c r="B60" s="52" t="s">
        <v>588</v>
      </c>
      <c r="C60" s="31" t="s">
        <v>17</v>
      </c>
      <c r="D60" s="31" t="s">
        <v>161</v>
      </c>
      <c r="E60" s="31" t="s">
        <v>143</v>
      </c>
      <c r="F60" s="31" t="s">
        <v>27</v>
      </c>
      <c r="G60" s="31" t="s">
        <v>19</v>
      </c>
      <c r="H60" s="31" t="s">
        <v>18</v>
      </c>
      <c r="I60" s="31" t="s">
        <v>66</v>
      </c>
      <c r="J60" s="31" t="s">
        <v>74</v>
      </c>
      <c r="K60" s="50" t="s">
        <v>301</v>
      </c>
      <c r="L60" s="50" t="s">
        <v>302</v>
      </c>
      <c r="M60" s="50" t="s">
        <v>303</v>
      </c>
      <c r="N60" s="50" t="s">
        <v>304</v>
      </c>
      <c r="O60" s="31" t="s">
        <v>305</v>
      </c>
      <c r="P60" s="31" t="s">
        <v>67</v>
      </c>
      <c r="Q60" s="31" t="s">
        <v>68</v>
      </c>
      <c r="R60" s="31" t="s">
        <v>20</v>
      </c>
      <c r="S60" s="31" t="s">
        <v>452</v>
      </c>
      <c r="T60" s="31" t="s">
        <v>72</v>
      </c>
      <c r="U60" s="31" t="s">
        <v>157</v>
      </c>
      <c r="V60" s="31" t="s">
        <v>155</v>
      </c>
      <c r="W60" s="31" t="s">
        <v>156</v>
      </c>
      <c r="Y60" s="14"/>
      <c r="Z60" s="14"/>
    </row>
    <row r="61" spans="1:26" s="10" customFormat="1" ht="18" x14ac:dyDescent="0.25">
      <c r="A61" s="32">
        <v>32</v>
      </c>
      <c r="B61" s="48">
        <v>1585781411</v>
      </c>
      <c r="C61" s="16" t="s">
        <v>213</v>
      </c>
      <c r="D61" s="168" t="s">
        <v>259</v>
      </c>
      <c r="E61" s="19" t="s">
        <v>225</v>
      </c>
      <c r="F61" s="67">
        <v>16</v>
      </c>
      <c r="G61" s="76">
        <v>824.36</v>
      </c>
      <c r="H61" s="76">
        <f t="shared" ref="H61:H67" si="24">F61*G61</f>
        <v>13189.76</v>
      </c>
      <c r="I61" s="76"/>
      <c r="J61" s="76"/>
      <c r="K61" s="76">
        <v>5081.01</v>
      </c>
      <c r="L61" s="72">
        <f>H61-K61</f>
        <v>8108.75</v>
      </c>
      <c r="M61" s="77">
        <v>0.21360000000000001</v>
      </c>
      <c r="N61" s="76">
        <f>(H61-10248.01)*23.52%</f>
        <v>691.89959999999996</v>
      </c>
      <c r="O61" s="76">
        <v>1641.75</v>
      </c>
      <c r="P61" s="76">
        <f>O61+N61</f>
        <v>2333.6495999999997</v>
      </c>
      <c r="Q61" s="76">
        <f>VLOOKUP($H$61,Tabsub,3)</f>
        <v>0</v>
      </c>
      <c r="R61" s="76">
        <v>5000</v>
      </c>
      <c r="S61" s="76"/>
      <c r="T61" s="76"/>
      <c r="U61" s="76"/>
      <c r="V61" s="72">
        <f>H61+I61+J61-P61+Q61-R61-S61-T61-U61</f>
        <v>5856.1104000000014</v>
      </c>
      <c r="W61" s="72">
        <f t="shared" ref="W61:W72" si="25">V61-I61</f>
        <v>5856.1104000000014</v>
      </c>
      <c r="Y61" s="14">
        <f t="shared" ref="Y61:Y72" si="26">+H61+I61+J61+Q61-P61-R61-S61-T61-U61</f>
        <v>5856.1104000000014</v>
      </c>
      <c r="Z61" s="14">
        <f t="shared" ref="Z61:Z72" si="27">+V61-I61</f>
        <v>5856.1104000000014</v>
      </c>
    </row>
    <row r="62" spans="1:26" s="10" customFormat="1" x14ac:dyDescent="0.25">
      <c r="A62" s="32">
        <v>33</v>
      </c>
      <c r="B62" s="48">
        <v>1585781429</v>
      </c>
      <c r="C62" s="16" t="s">
        <v>414</v>
      </c>
      <c r="D62" s="19" t="s">
        <v>163</v>
      </c>
      <c r="E62" s="16" t="s">
        <v>379</v>
      </c>
      <c r="F62" s="67">
        <v>16</v>
      </c>
      <c r="G62" s="76">
        <v>250.29</v>
      </c>
      <c r="H62" s="76">
        <f t="shared" si="24"/>
        <v>4004.64</v>
      </c>
      <c r="I62" s="64">
        <v>400</v>
      </c>
      <c r="J62" s="64"/>
      <c r="K62" s="76">
        <v>3651.01</v>
      </c>
      <c r="L62" s="72">
        <f>+H62-K62</f>
        <v>353.62999999999965</v>
      </c>
      <c r="M62" s="77">
        <v>0.16</v>
      </c>
      <c r="N62" s="76">
        <f>(H62-3651.01)*16%</f>
        <v>56.580799999999947</v>
      </c>
      <c r="O62" s="76">
        <v>293.25</v>
      </c>
      <c r="P62" s="76">
        <f>O62+N62</f>
        <v>349.83079999999995</v>
      </c>
      <c r="Q62" s="76"/>
      <c r="R62" s="76">
        <v>700</v>
      </c>
      <c r="S62" s="76"/>
      <c r="T62" s="76"/>
      <c r="U62" s="76"/>
      <c r="V62" s="72">
        <f>H62+I62+J62-P62+Q62-R62-S62-T62-U62</f>
        <v>3354.8091999999997</v>
      </c>
      <c r="W62" s="72">
        <f t="shared" si="25"/>
        <v>2954.8091999999997</v>
      </c>
      <c r="Y62" s="14">
        <f t="shared" si="26"/>
        <v>3354.8091999999997</v>
      </c>
      <c r="Z62" s="14">
        <f t="shared" si="27"/>
        <v>2954.8091999999997</v>
      </c>
    </row>
    <row r="63" spans="1:26" s="10" customFormat="1" x14ac:dyDescent="0.25">
      <c r="A63" s="32">
        <v>34</v>
      </c>
      <c r="B63" s="48">
        <v>1197962460</v>
      </c>
      <c r="C63" s="16" t="s">
        <v>214</v>
      </c>
      <c r="D63" s="16" t="s">
        <v>215</v>
      </c>
      <c r="E63" s="19" t="s">
        <v>239</v>
      </c>
      <c r="F63" s="67">
        <v>16</v>
      </c>
      <c r="G63" s="76">
        <v>393.95</v>
      </c>
      <c r="H63" s="76">
        <f t="shared" si="24"/>
        <v>6303.2</v>
      </c>
      <c r="I63" s="76">
        <v>400</v>
      </c>
      <c r="J63" s="76"/>
      <c r="K63" s="76">
        <f>VLOOKUP($H$206,Tabisr,1)</f>
        <v>5081.01</v>
      </c>
      <c r="L63" s="72">
        <f>+H63-K63</f>
        <v>1222.1899999999996</v>
      </c>
      <c r="M63" s="77">
        <f>VLOOKUP($H$206,Tabisr,4)</f>
        <v>0.21360000000000001</v>
      </c>
      <c r="N63" s="76">
        <f>+L63*M63</f>
        <v>261.05978399999992</v>
      </c>
      <c r="O63" s="76">
        <f>VLOOKUP($H$206,Tabisr,3)</f>
        <v>538.20000000000005</v>
      </c>
      <c r="P63" s="76">
        <f>+N63+O63</f>
        <v>799.25978399999997</v>
      </c>
      <c r="Q63" s="76">
        <f>VLOOKUP($H$369,Tabsub,3)</f>
        <v>0</v>
      </c>
      <c r="R63" s="76"/>
      <c r="S63" s="76"/>
      <c r="T63" s="76"/>
      <c r="U63" s="76"/>
      <c r="V63" s="72">
        <f>H63+I63+J63-P63+Q63-R63-S63-T63-U63</f>
        <v>5903.940216</v>
      </c>
      <c r="W63" s="72">
        <f t="shared" si="25"/>
        <v>5503.940216</v>
      </c>
      <c r="Y63" s="14">
        <f t="shared" si="26"/>
        <v>5903.940216</v>
      </c>
      <c r="Z63" s="14">
        <f t="shared" si="27"/>
        <v>5503.940216</v>
      </c>
    </row>
    <row r="64" spans="1:26" s="10" customFormat="1" x14ac:dyDescent="0.25">
      <c r="A64" s="32">
        <v>35</v>
      </c>
      <c r="B64" s="48">
        <v>2999576282</v>
      </c>
      <c r="C64" s="16" t="s">
        <v>352</v>
      </c>
      <c r="D64" s="16" t="s">
        <v>457</v>
      </c>
      <c r="E64" s="19" t="s">
        <v>353</v>
      </c>
      <c r="F64" s="67">
        <v>16</v>
      </c>
      <c r="G64" s="64">
        <v>393.95</v>
      </c>
      <c r="H64" s="65">
        <f t="shared" si="24"/>
        <v>6303.2</v>
      </c>
      <c r="I64" s="64">
        <v>400</v>
      </c>
      <c r="J64" s="64"/>
      <c r="K64" s="64">
        <f>VLOOKUP($H$206,Tabisr,1)</f>
        <v>5081.01</v>
      </c>
      <c r="L64" s="65">
        <f>+H64-K64</f>
        <v>1222.1899999999996</v>
      </c>
      <c r="M64" s="66">
        <f>VLOOKUP($H$206,Tabisr,4)</f>
        <v>0.21360000000000001</v>
      </c>
      <c r="N64" s="64">
        <f>+L64*M64</f>
        <v>261.05978399999992</v>
      </c>
      <c r="O64" s="64">
        <f>VLOOKUP($H$206,Tabisr,3)</f>
        <v>538.20000000000005</v>
      </c>
      <c r="P64" s="64">
        <f>+N64+O64</f>
        <v>799.25978399999997</v>
      </c>
      <c r="Q64" s="64">
        <f>VLOOKUP($H$369,Tabsub,3)</f>
        <v>0</v>
      </c>
      <c r="R64" s="64"/>
      <c r="S64" s="64"/>
      <c r="T64" s="64"/>
      <c r="U64" s="64"/>
      <c r="V64" s="72">
        <f>H64+I64+J64-P64+Q64-R64-S64-T64-U64</f>
        <v>5903.940216</v>
      </c>
      <c r="W64" s="65">
        <f t="shared" si="25"/>
        <v>5503.940216</v>
      </c>
      <c r="Y64" s="14">
        <f t="shared" si="26"/>
        <v>5903.940216</v>
      </c>
      <c r="Z64" s="14">
        <f t="shared" si="27"/>
        <v>5503.940216</v>
      </c>
    </row>
    <row r="65" spans="1:26" s="10" customFormat="1" x14ac:dyDescent="0.25">
      <c r="A65" s="33">
        <v>31</v>
      </c>
      <c r="B65" s="164">
        <v>2855196051</v>
      </c>
      <c r="C65" s="16" t="s">
        <v>32</v>
      </c>
      <c r="D65" s="162" t="s">
        <v>653</v>
      </c>
      <c r="E65" s="162" t="s">
        <v>103</v>
      </c>
      <c r="F65" s="67">
        <v>16</v>
      </c>
      <c r="G65" s="68">
        <v>296.54000000000002</v>
      </c>
      <c r="H65" s="68">
        <f t="shared" si="24"/>
        <v>4744.6400000000003</v>
      </c>
      <c r="I65" s="68">
        <v>400</v>
      </c>
      <c r="J65" s="33"/>
      <c r="K65" s="68">
        <f>VLOOKUP($H$69,Tabisr,1)</f>
        <v>5081.01</v>
      </c>
      <c r="L65" s="70">
        <f t="shared" ref="L65" si="28">+H65-K65</f>
        <v>-336.36999999999989</v>
      </c>
      <c r="M65" s="71">
        <f>VLOOKUP($H$69,Tabisr,4)</f>
        <v>0.21360000000000001</v>
      </c>
      <c r="N65" s="68">
        <f>(H65-4244.01)*17.92%</f>
        <v>89.712896000000029</v>
      </c>
      <c r="O65" s="68">
        <v>388.05</v>
      </c>
      <c r="P65" s="68">
        <f>O65+N65</f>
        <v>477.76289600000007</v>
      </c>
      <c r="Q65" s="68">
        <f>VLOOKUP($H$69,Tabsub,3)</f>
        <v>0</v>
      </c>
      <c r="R65" s="68"/>
      <c r="S65" s="68"/>
      <c r="T65" s="68"/>
      <c r="U65" s="68"/>
      <c r="V65" s="70">
        <f t="shared" ref="V65" si="29">H65+I65+J65-P65+Q65-R65-S65-T65-U65</f>
        <v>4666.8771040000001</v>
      </c>
      <c r="W65" s="70">
        <f t="shared" ref="W65" si="30">V65-I65</f>
        <v>4266.8771040000001</v>
      </c>
      <c r="Y65" s="14">
        <f>+H65+I65+J65+Q65-P65-R65-S65-T65-U65</f>
        <v>4666.8771040000001</v>
      </c>
      <c r="Z65" s="14">
        <f>+V65-I65</f>
        <v>4266.8771040000001</v>
      </c>
    </row>
    <row r="66" spans="1:26" s="10" customFormat="1" x14ac:dyDescent="0.25">
      <c r="A66" s="32">
        <v>36</v>
      </c>
      <c r="B66" s="48">
        <v>1585781437</v>
      </c>
      <c r="C66" s="16" t="s">
        <v>528</v>
      </c>
      <c r="D66" s="16" t="s">
        <v>530</v>
      </c>
      <c r="E66" s="19" t="s">
        <v>529</v>
      </c>
      <c r="F66" s="67">
        <v>16</v>
      </c>
      <c r="G66" s="76">
        <v>594.66999999999996</v>
      </c>
      <c r="H66" s="76">
        <f t="shared" si="24"/>
        <v>9514.7199999999993</v>
      </c>
      <c r="I66" s="76"/>
      <c r="J66" s="87"/>
      <c r="K66" s="76">
        <v>5081</v>
      </c>
      <c r="L66" s="72">
        <f>+H66-K66</f>
        <v>4433.7199999999993</v>
      </c>
      <c r="M66" s="77">
        <v>0.21360000000000001</v>
      </c>
      <c r="N66" s="76">
        <f>(H66-5081.01)*21.36%</f>
        <v>947.04045599999972</v>
      </c>
      <c r="O66" s="76">
        <v>538.20000000000005</v>
      </c>
      <c r="P66" s="154">
        <f>N66+O66</f>
        <v>1485.2404559999998</v>
      </c>
      <c r="Q66" s="76"/>
      <c r="R66" s="76"/>
      <c r="S66" s="76"/>
      <c r="T66" s="76"/>
      <c r="U66" s="76"/>
      <c r="V66" s="72">
        <f>H66+I66+J66-P66+Q66-R66-T66-U66</f>
        <v>8029.4795439999998</v>
      </c>
      <c r="W66" s="72">
        <f t="shared" si="25"/>
        <v>8029.4795439999998</v>
      </c>
      <c r="Y66" s="14">
        <f t="shared" si="26"/>
        <v>8029.4795439999998</v>
      </c>
      <c r="Z66" s="14">
        <f t="shared" si="27"/>
        <v>8029.4795439999998</v>
      </c>
    </row>
    <row r="67" spans="1:26" s="10" customFormat="1" x14ac:dyDescent="0.25">
      <c r="A67" s="32">
        <v>37</v>
      </c>
      <c r="B67" s="48">
        <v>1585781445</v>
      </c>
      <c r="C67" s="171" t="s">
        <v>585</v>
      </c>
      <c r="D67" s="16" t="s">
        <v>633</v>
      </c>
      <c r="E67" s="21" t="s">
        <v>586</v>
      </c>
      <c r="F67" s="67">
        <v>16</v>
      </c>
      <c r="G67" s="76">
        <v>594.66999999999996</v>
      </c>
      <c r="H67" s="76">
        <f t="shared" si="24"/>
        <v>9514.7199999999993</v>
      </c>
      <c r="I67" s="76"/>
      <c r="J67" s="87"/>
      <c r="K67" s="76">
        <v>5081</v>
      </c>
      <c r="L67" s="72">
        <f>+H67-K67</f>
        <v>4433.7199999999993</v>
      </c>
      <c r="M67" s="77">
        <v>0.21360000000000001</v>
      </c>
      <c r="N67" s="76">
        <f>(H67-5081.01)*21.36%</f>
        <v>947.04045599999972</v>
      </c>
      <c r="O67" s="76">
        <v>538.20000000000005</v>
      </c>
      <c r="P67" s="154">
        <f>N67+O67</f>
        <v>1485.2404559999998</v>
      </c>
      <c r="Q67" s="76"/>
      <c r="R67" s="76"/>
      <c r="S67" s="76"/>
      <c r="T67" s="76"/>
      <c r="U67" s="76"/>
      <c r="V67" s="72">
        <f>H67+I67+J67-P67+Q67-R67-T67-U67</f>
        <v>8029.4795439999998</v>
      </c>
      <c r="W67" s="72">
        <f t="shared" si="25"/>
        <v>8029.4795439999998</v>
      </c>
      <c r="Y67" s="14">
        <f t="shared" si="26"/>
        <v>8029.4795439999998</v>
      </c>
      <c r="Z67" s="14">
        <f t="shared" si="27"/>
        <v>8029.4795439999998</v>
      </c>
    </row>
    <row r="68" spans="1:26" s="10" customFormat="1" x14ac:dyDescent="0.25">
      <c r="A68" s="37">
        <v>38</v>
      </c>
      <c r="B68" s="48">
        <v>1585781453</v>
      </c>
      <c r="C68" s="16" t="s">
        <v>276</v>
      </c>
      <c r="D68" s="19" t="s">
        <v>163</v>
      </c>
      <c r="E68" s="21" t="s">
        <v>277</v>
      </c>
      <c r="F68" s="67">
        <v>16</v>
      </c>
      <c r="G68" s="68">
        <v>393.95</v>
      </c>
      <c r="H68" s="68">
        <f t="shared" ref="H68" si="31">F68*G68</f>
        <v>6303.2</v>
      </c>
      <c r="I68" s="68">
        <v>400</v>
      </c>
      <c r="J68" s="33"/>
      <c r="K68" s="68">
        <f>VLOOKUP($H$69,Tabisr,1)</f>
        <v>5081.01</v>
      </c>
      <c r="L68" s="70">
        <f t="shared" ref="L68" si="32">+H68-K68</f>
        <v>1222.1899999999996</v>
      </c>
      <c r="M68" s="71">
        <f>VLOOKUP($H$69,Tabisr,4)</f>
        <v>0.21360000000000001</v>
      </c>
      <c r="N68" s="68">
        <f>(H68-4244.01)*17.92%</f>
        <v>369.00684799999999</v>
      </c>
      <c r="O68" s="68">
        <v>388.05</v>
      </c>
      <c r="P68" s="68">
        <f>O68+N68</f>
        <v>757.05684799999995</v>
      </c>
      <c r="Q68" s="68">
        <f>VLOOKUP($H$69,Tabsub,3)</f>
        <v>0</v>
      </c>
      <c r="R68" s="68"/>
      <c r="S68" s="68"/>
      <c r="T68" s="68"/>
      <c r="U68" s="68"/>
      <c r="V68" s="70">
        <f t="shared" ref="V68" si="33">H68+I68+J68-P68+Q68-R68-S68-T68-U68</f>
        <v>5946.1431519999996</v>
      </c>
      <c r="W68" s="70">
        <f t="shared" si="25"/>
        <v>5546.1431519999996</v>
      </c>
      <c r="Y68" s="14">
        <f t="shared" si="26"/>
        <v>5946.1431519999996</v>
      </c>
      <c r="Z68" s="14">
        <f t="shared" si="27"/>
        <v>5546.1431519999996</v>
      </c>
    </row>
    <row r="69" spans="1:26" s="10" customFormat="1" x14ac:dyDescent="0.25">
      <c r="A69" s="32">
        <v>39</v>
      </c>
      <c r="B69" s="48">
        <v>1585781462</v>
      </c>
      <c r="C69" s="16" t="s">
        <v>455</v>
      </c>
      <c r="D69" s="16" t="s">
        <v>275</v>
      </c>
      <c r="E69" s="19" t="s">
        <v>456</v>
      </c>
      <c r="F69" s="67">
        <v>16</v>
      </c>
      <c r="G69" s="76">
        <v>393.95</v>
      </c>
      <c r="H69" s="76">
        <f t="shared" ref="H69:H72" si="34">F69*G69</f>
        <v>6303.2</v>
      </c>
      <c r="I69" s="76">
        <v>400</v>
      </c>
      <c r="J69" s="76"/>
      <c r="K69" s="76">
        <f>VLOOKUP($H$206,Tabisr,1)</f>
        <v>5081.01</v>
      </c>
      <c r="L69" s="72">
        <f>+H69-K69</f>
        <v>1222.1899999999996</v>
      </c>
      <c r="M69" s="77">
        <f>VLOOKUP($H$206,Tabisr,4)</f>
        <v>0.21360000000000001</v>
      </c>
      <c r="N69" s="76">
        <f>+L69*M69</f>
        <v>261.05978399999992</v>
      </c>
      <c r="O69" s="76">
        <f>VLOOKUP($H$206,Tabisr,3)</f>
        <v>538.20000000000005</v>
      </c>
      <c r="P69" s="76">
        <f>+N69+O69</f>
        <v>799.25978399999997</v>
      </c>
      <c r="Q69" s="76">
        <f>VLOOKUP($H$369,Tabsub,3)</f>
        <v>0</v>
      </c>
      <c r="R69" s="76"/>
      <c r="S69" s="76"/>
      <c r="T69" s="76"/>
      <c r="U69" s="76"/>
      <c r="V69" s="72">
        <f t="shared" ref="V69:V72" si="35">H69+I69+J69-P69+Q69-R69-S69-T69-U69</f>
        <v>5903.940216</v>
      </c>
      <c r="W69" s="72">
        <f t="shared" si="25"/>
        <v>5503.940216</v>
      </c>
      <c r="Y69" s="14">
        <f t="shared" si="26"/>
        <v>5903.940216</v>
      </c>
      <c r="Z69" s="14">
        <f t="shared" si="27"/>
        <v>5503.940216</v>
      </c>
    </row>
    <row r="70" spans="1:26" s="10" customFormat="1" x14ac:dyDescent="0.25">
      <c r="A70" s="32">
        <v>41</v>
      </c>
      <c r="B70" s="48">
        <v>1585781488</v>
      </c>
      <c r="C70" s="16" t="s">
        <v>8</v>
      </c>
      <c r="D70" s="168" t="s">
        <v>181</v>
      </c>
      <c r="E70" s="19" t="s">
        <v>122</v>
      </c>
      <c r="F70" s="67">
        <v>16</v>
      </c>
      <c r="G70" s="76">
        <v>250.29</v>
      </c>
      <c r="H70" s="76">
        <f t="shared" si="34"/>
        <v>4004.64</v>
      </c>
      <c r="I70" s="76">
        <v>400</v>
      </c>
      <c r="J70" s="76"/>
      <c r="K70" s="76">
        <f>VLOOKUP($H$70,Tabisr,1)</f>
        <v>3651.01</v>
      </c>
      <c r="L70" s="72">
        <f t="shared" ref="L70:L72" si="36">+H70-K70</f>
        <v>353.62999999999965</v>
      </c>
      <c r="M70" s="77">
        <f>VLOOKUP($H$70,Tabisr,4)</f>
        <v>0.16</v>
      </c>
      <c r="N70" s="76">
        <f>(H70-3651.01)*16%</f>
        <v>56.580799999999947</v>
      </c>
      <c r="O70" s="76">
        <v>293.25</v>
      </c>
      <c r="P70" s="76">
        <f>O70+N70</f>
        <v>349.83079999999995</v>
      </c>
      <c r="Q70" s="76">
        <f>VLOOKUP($H$70,Tabsub,3)</f>
        <v>0</v>
      </c>
      <c r="R70" s="76">
        <v>1470</v>
      </c>
      <c r="S70" s="76"/>
      <c r="T70" s="92"/>
      <c r="U70" s="92"/>
      <c r="V70" s="72">
        <f t="shared" si="35"/>
        <v>2584.8091999999997</v>
      </c>
      <c r="W70" s="72">
        <f t="shared" si="25"/>
        <v>2184.8091999999997</v>
      </c>
      <c r="Y70" s="14">
        <f t="shared" si="26"/>
        <v>2584.8091999999997</v>
      </c>
      <c r="Z70" s="14">
        <f t="shared" si="27"/>
        <v>2184.8091999999997</v>
      </c>
    </row>
    <row r="71" spans="1:26" s="10" customFormat="1" x14ac:dyDescent="0.25">
      <c r="A71" s="32">
        <v>42</v>
      </c>
      <c r="B71" s="48">
        <v>2917863608</v>
      </c>
      <c r="C71" s="16" t="s">
        <v>418</v>
      </c>
      <c r="D71" s="19" t="s">
        <v>362</v>
      </c>
      <c r="E71" s="19" t="s">
        <v>152</v>
      </c>
      <c r="F71" s="67">
        <v>16</v>
      </c>
      <c r="G71" s="76">
        <v>296.54000000000002</v>
      </c>
      <c r="H71" s="76">
        <f t="shared" si="34"/>
        <v>4744.6400000000003</v>
      </c>
      <c r="I71" s="76">
        <v>400</v>
      </c>
      <c r="J71" s="76"/>
      <c r="K71" s="76">
        <f>VLOOKUP($H$69,Tabisr,1)</f>
        <v>5081.01</v>
      </c>
      <c r="L71" s="72">
        <f t="shared" si="36"/>
        <v>-336.36999999999989</v>
      </c>
      <c r="M71" s="77">
        <f>VLOOKUP($H$69,Tabisr,4)</f>
        <v>0.21360000000000001</v>
      </c>
      <c r="N71" s="76">
        <f>(H71-4244.01)*17.92%</f>
        <v>89.712896000000029</v>
      </c>
      <c r="O71" s="76">
        <v>388.05</v>
      </c>
      <c r="P71" s="76">
        <f>O71+N71</f>
        <v>477.76289600000007</v>
      </c>
      <c r="Q71" s="76">
        <f>VLOOKUP($H$69,Tabsub,3)</f>
        <v>0</v>
      </c>
      <c r="R71" s="76"/>
      <c r="S71" s="76"/>
      <c r="T71" s="76"/>
      <c r="U71" s="76"/>
      <c r="V71" s="72">
        <f t="shared" si="35"/>
        <v>4666.8771040000001</v>
      </c>
      <c r="W71" s="72">
        <f t="shared" si="25"/>
        <v>4266.8771040000001</v>
      </c>
      <c r="Y71" s="14">
        <f t="shared" si="26"/>
        <v>4666.8771040000001</v>
      </c>
      <c r="Z71" s="14">
        <f t="shared" si="27"/>
        <v>4266.8771040000001</v>
      </c>
    </row>
    <row r="72" spans="1:26" s="10" customFormat="1" x14ac:dyDescent="0.25">
      <c r="A72" s="32">
        <v>43</v>
      </c>
      <c r="B72" s="48">
        <v>1585781496</v>
      </c>
      <c r="C72" s="16" t="s">
        <v>46</v>
      </c>
      <c r="D72" s="16" t="s">
        <v>163</v>
      </c>
      <c r="E72" s="19" t="s">
        <v>125</v>
      </c>
      <c r="F72" s="67">
        <v>16</v>
      </c>
      <c r="G72" s="91">
        <v>250.29</v>
      </c>
      <c r="H72" s="76">
        <f t="shared" si="34"/>
        <v>4004.64</v>
      </c>
      <c r="I72" s="76">
        <v>400</v>
      </c>
      <c r="J72" s="76"/>
      <c r="K72" s="76">
        <f>VLOOKUP($H$72,Tabisr,1)</f>
        <v>3651.01</v>
      </c>
      <c r="L72" s="72">
        <f t="shared" si="36"/>
        <v>353.62999999999965</v>
      </c>
      <c r="M72" s="77">
        <f>VLOOKUP($H$72,Tabisr,4)</f>
        <v>0.16</v>
      </c>
      <c r="N72" s="76">
        <f>(H72-3651.01)*16%</f>
        <v>56.580799999999947</v>
      </c>
      <c r="O72" s="76">
        <v>293.25</v>
      </c>
      <c r="P72" s="76">
        <f>O72+N72</f>
        <v>349.83079999999995</v>
      </c>
      <c r="Q72" s="76">
        <f>VLOOKUP($H$72,Tabsub,3)</f>
        <v>0</v>
      </c>
      <c r="R72" s="76">
        <v>1250</v>
      </c>
      <c r="S72" s="76"/>
      <c r="T72" s="76"/>
      <c r="U72" s="76"/>
      <c r="V72" s="72">
        <f t="shared" si="35"/>
        <v>2804.8091999999997</v>
      </c>
      <c r="W72" s="72">
        <f t="shared" si="25"/>
        <v>2404.8091999999997</v>
      </c>
      <c r="Y72" s="14">
        <f t="shared" si="26"/>
        <v>2804.8091999999997</v>
      </c>
      <c r="Z72" s="14">
        <f t="shared" si="27"/>
        <v>2404.8091999999997</v>
      </c>
    </row>
    <row r="73" spans="1:26" s="10" customFormat="1" x14ac:dyDescent="0.25">
      <c r="A73" s="34"/>
      <c r="B73" s="53"/>
      <c r="C73" s="169"/>
      <c r="D73" s="170"/>
      <c r="E73" s="234"/>
      <c r="F73" s="88" t="s">
        <v>531</v>
      </c>
      <c r="G73" s="88"/>
      <c r="H73" s="89">
        <f>SUM(H61:H72)</f>
        <v>78935.199999999997</v>
      </c>
      <c r="I73" s="89">
        <f>SUM(I61:I72)</f>
        <v>3600</v>
      </c>
      <c r="J73" s="89">
        <f t="shared" ref="J73:W73" si="37">SUM(J61:J72)</f>
        <v>0</v>
      </c>
      <c r="K73" s="89">
        <f t="shared" si="37"/>
        <v>56682.100000000013</v>
      </c>
      <c r="L73" s="89">
        <f t="shared" si="37"/>
        <v>22253.1</v>
      </c>
      <c r="M73" s="89">
        <f t="shared" si="37"/>
        <v>2.4024000000000005</v>
      </c>
      <c r="N73" s="89">
        <f t="shared" si="37"/>
        <v>4087.3349039999985</v>
      </c>
      <c r="O73" s="89">
        <f t="shared" si="37"/>
        <v>6376.65</v>
      </c>
      <c r="P73" s="89">
        <f t="shared" si="37"/>
        <v>10463.984903999997</v>
      </c>
      <c r="Q73" s="89">
        <f t="shared" si="37"/>
        <v>0</v>
      </c>
      <c r="R73" s="89">
        <f t="shared" si="37"/>
        <v>8420</v>
      </c>
      <c r="S73" s="89">
        <f t="shared" si="37"/>
        <v>0</v>
      </c>
      <c r="T73" s="89">
        <f t="shared" si="37"/>
        <v>0</v>
      </c>
      <c r="U73" s="89">
        <f t="shared" si="37"/>
        <v>0</v>
      </c>
      <c r="V73" s="89">
        <f t="shared" si="37"/>
        <v>63651.215096</v>
      </c>
      <c r="W73" s="89">
        <f t="shared" si="37"/>
        <v>60051.215096</v>
      </c>
      <c r="Y73" s="15">
        <f>+SUM(Y61:Y72)</f>
        <v>63651.215096</v>
      </c>
      <c r="Z73" s="15">
        <f>+SUM(Z61:Z72)</f>
        <v>60051.215096</v>
      </c>
    </row>
    <row r="74" spans="1:26" s="10" customFormat="1" x14ac:dyDescent="0.25">
      <c r="A74" s="34"/>
      <c r="B74" s="53"/>
      <c r="C74" s="169"/>
      <c r="D74" s="170"/>
      <c r="E74" s="234"/>
      <c r="F74" s="88"/>
      <c r="G74" s="88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Y74" s="15"/>
      <c r="Z74" s="15"/>
    </row>
    <row r="75" spans="1:26" s="10" customFormat="1" ht="18.75" x14ac:dyDescent="0.25">
      <c r="A75" s="277" t="s">
        <v>650</v>
      </c>
      <c r="B75" s="278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9"/>
      <c r="Y75" s="15"/>
      <c r="Z75" s="15"/>
    </row>
    <row r="76" spans="1:26" s="10" customFormat="1" ht="33.75" customHeight="1" x14ac:dyDescent="0.25">
      <c r="A76" s="31" t="s">
        <v>69</v>
      </c>
      <c r="B76" s="52" t="s">
        <v>588</v>
      </c>
      <c r="C76" s="31" t="s">
        <v>17</v>
      </c>
      <c r="D76" s="31" t="s">
        <v>161</v>
      </c>
      <c r="E76" s="31" t="s">
        <v>143</v>
      </c>
      <c r="F76" s="31" t="s">
        <v>27</v>
      </c>
      <c r="G76" s="31" t="s">
        <v>19</v>
      </c>
      <c r="H76" s="31" t="s">
        <v>18</v>
      </c>
      <c r="I76" s="31" t="s">
        <v>66</v>
      </c>
      <c r="J76" s="31" t="s">
        <v>74</v>
      </c>
      <c r="K76" s="50" t="s">
        <v>301</v>
      </c>
      <c r="L76" s="50" t="s">
        <v>302</v>
      </c>
      <c r="M76" s="50" t="s">
        <v>303</v>
      </c>
      <c r="N76" s="50" t="s">
        <v>304</v>
      </c>
      <c r="O76" s="31" t="s">
        <v>305</v>
      </c>
      <c r="P76" s="31" t="s">
        <v>67</v>
      </c>
      <c r="Q76" s="31" t="s">
        <v>68</v>
      </c>
      <c r="R76" s="31" t="s">
        <v>20</v>
      </c>
      <c r="S76" s="31" t="s">
        <v>452</v>
      </c>
      <c r="T76" s="31" t="s">
        <v>72</v>
      </c>
      <c r="U76" s="31" t="s">
        <v>157</v>
      </c>
      <c r="V76" s="31" t="s">
        <v>155</v>
      </c>
      <c r="W76" s="31" t="s">
        <v>156</v>
      </c>
      <c r="Y76" s="15"/>
      <c r="Z76" s="15"/>
    </row>
    <row r="77" spans="1:26" s="10" customFormat="1" x14ac:dyDescent="0.25">
      <c r="A77" s="40">
        <v>212</v>
      </c>
      <c r="B77" s="48">
        <v>1585782727</v>
      </c>
      <c r="C77" s="16" t="s">
        <v>205</v>
      </c>
      <c r="D77" s="16" t="s">
        <v>650</v>
      </c>
      <c r="E77" s="173" t="s">
        <v>515</v>
      </c>
      <c r="F77" s="40">
        <v>16</v>
      </c>
      <c r="G77" s="105">
        <v>594.66999999999996</v>
      </c>
      <c r="H77" s="106">
        <f t="shared" ref="H77" si="38">F77*G77</f>
        <v>9514.7199999999993</v>
      </c>
      <c r="I77" s="106"/>
      <c r="J77" s="106"/>
      <c r="K77" s="106">
        <v>5081</v>
      </c>
      <c r="L77" s="106">
        <f>+H77-K77</f>
        <v>4433.7199999999993</v>
      </c>
      <c r="M77" s="106">
        <v>0.21360000000000001</v>
      </c>
      <c r="N77" s="106">
        <f>(H77-5081.01)*21.36%</f>
        <v>947.04045599999972</v>
      </c>
      <c r="O77" s="106">
        <v>538.20000000000005</v>
      </c>
      <c r="P77" s="106">
        <f>N77+O77</f>
        <v>1485.2404559999998</v>
      </c>
      <c r="Q77" s="117"/>
      <c r="R77" s="117"/>
      <c r="S77" s="68">
        <v>1097</v>
      </c>
      <c r="T77" s="68"/>
      <c r="U77" s="68"/>
      <c r="V77" s="68">
        <f>H77+I77+J77-P77+Q77-R77-S77-T77-U77</f>
        <v>6932.4795439999998</v>
      </c>
      <c r="W77" s="68">
        <f>V77-I77</f>
        <v>6932.4795439999998</v>
      </c>
      <c r="Y77" s="14">
        <f>+H77+I77+J77+Q77-P77-R77-S77-T77-U77</f>
        <v>6932.4795439999998</v>
      </c>
      <c r="Z77" s="14">
        <f>+V77-I77</f>
        <v>6932.4795439999998</v>
      </c>
    </row>
    <row r="78" spans="1:26" s="12" customFormat="1" x14ac:dyDescent="0.25">
      <c r="A78" s="40">
        <v>213</v>
      </c>
      <c r="B78" s="48">
        <v>1585782735</v>
      </c>
      <c r="C78" s="16" t="s">
        <v>591</v>
      </c>
      <c r="D78" s="16" t="s">
        <v>163</v>
      </c>
      <c r="E78" s="173" t="s">
        <v>603</v>
      </c>
      <c r="F78" s="40">
        <v>16</v>
      </c>
      <c r="G78" s="105">
        <v>250.29</v>
      </c>
      <c r="H78" s="106">
        <f>F78*G78</f>
        <v>4004.64</v>
      </c>
      <c r="I78" s="133">
        <v>400</v>
      </c>
      <c r="J78" s="133"/>
      <c r="K78" s="133">
        <v>309.77999999999997</v>
      </c>
      <c r="L78" s="133"/>
      <c r="M78" s="133">
        <v>1050</v>
      </c>
      <c r="N78" s="133"/>
      <c r="O78" s="133"/>
      <c r="P78" s="106">
        <v>309.77999999999997</v>
      </c>
      <c r="Q78" s="106"/>
      <c r="R78" s="106"/>
      <c r="S78" s="76"/>
      <c r="T78" s="76"/>
      <c r="U78" s="76"/>
      <c r="V78" s="76">
        <f>H78+I78+J78-P78+Q78-R78-S78-T78-U78</f>
        <v>4094.8599999999997</v>
      </c>
      <c r="W78" s="76">
        <f>V78-I78</f>
        <v>3694.8599999999997</v>
      </c>
      <c r="Y78" s="25">
        <f>+H78+I78+J78+Q78-P78-R78-S78-T78-U78</f>
        <v>4094.8599999999997</v>
      </c>
      <c r="Z78" s="25">
        <f>+V78-I78</f>
        <v>3694.8599999999997</v>
      </c>
    </row>
    <row r="79" spans="1:26" s="10" customFormat="1" x14ac:dyDescent="0.25">
      <c r="A79" s="32">
        <v>40</v>
      </c>
      <c r="B79" s="48">
        <v>1585781470</v>
      </c>
      <c r="C79" s="16" t="s">
        <v>501</v>
      </c>
      <c r="D79" s="168" t="s">
        <v>651</v>
      </c>
      <c r="E79" s="19" t="s">
        <v>502</v>
      </c>
      <c r="F79" s="67">
        <v>16</v>
      </c>
      <c r="G79" s="76">
        <v>296.54000000000002</v>
      </c>
      <c r="H79" s="76">
        <f>F79*G79</f>
        <v>4744.6400000000003</v>
      </c>
      <c r="I79" s="76">
        <v>400</v>
      </c>
      <c r="J79" s="76"/>
      <c r="K79" s="76">
        <f>VLOOKUP($H$69,Tabisr,1)</f>
        <v>5081.01</v>
      </c>
      <c r="L79" s="72">
        <f>+H79-K79</f>
        <v>-336.36999999999989</v>
      </c>
      <c r="M79" s="77">
        <f>VLOOKUP($H$69,Tabisr,4)</f>
        <v>0.21360000000000001</v>
      </c>
      <c r="N79" s="76">
        <f>(H79-4244.01)*17.92%</f>
        <v>89.712896000000029</v>
      </c>
      <c r="O79" s="76">
        <v>388.05</v>
      </c>
      <c r="P79" s="76">
        <f>N79+O79</f>
        <v>477.76289600000007</v>
      </c>
      <c r="Q79" s="76">
        <f>VLOOKUP($H$238,Tabsub,3)</f>
        <v>0</v>
      </c>
      <c r="R79" s="76"/>
      <c r="S79" s="76">
        <v>643</v>
      </c>
      <c r="T79" s="76"/>
      <c r="U79" s="76"/>
      <c r="V79" s="72">
        <f>H79+I79+J79-P79+Q79-R79-S79-T79-U79</f>
        <v>4023.8771040000001</v>
      </c>
      <c r="W79" s="72">
        <f>V79-I79</f>
        <v>3623.8771040000001</v>
      </c>
      <c r="Y79" s="14">
        <f>+H79+I79+J79+Q79-P79-R79-S79-T79-U79</f>
        <v>4023.8771040000001</v>
      </c>
      <c r="Z79" s="14">
        <f>+V79-I79</f>
        <v>3623.8771040000001</v>
      </c>
    </row>
    <row r="80" spans="1:26" s="10" customFormat="1" x14ac:dyDescent="0.25">
      <c r="A80" s="32">
        <v>27</v>
      </c>
      <c r="B80" s="48">
        <v>1585781374</v>
      </c>
      <c r="C80" s="158" t="s">
        <v>602</v>
      </c>
      <c r="D80" s="167" t="s">
        <v>652</v>
      </c>
      <c r="E80" s="21" t="s">
        <v>605</v>
      </c>
      <c r="F80" s="67">
        <v>16</v>
      </c>
      <c r="G80" s="76">
        <v>250.29</v>
      </c>
      <c r="H80" s="76">
        <f>F80*G80</f>
        <v>4004.64</v>
      </c>
      <c r="I80" s="76">
        <v>400</v>
      </c>
      <c r="J80" s="76"/>
      <c r="K80" s="76">
        <v>4244.01</v>
      </c>
      <c r="L80" s="72">
        <f>+H80-K80</f>
        <v>-239.37000000000035</v>
      </c>
      <c r="M80" s="77">
        <v>0.1792</v>
      </c>
      <c r="N80" s="76">
        <f>(H80-3651.01)*16%</f>
        <v>56.580799999999947</v>
      </c>
      <c r="O80" s="76">
        <v>293.25</v>
      </c>
      <c r="P80" s="76">
        <f>O80+N80</f>
        <v>349.83079999999995</v>
      </c>
      <c r="Q80" s="76"/>
      <c r="R80" s="76"/>
      <c r="S80" s="76"/>
      <c r="T80" s="76"/>
      <c r="U80" s="76"/>
      <c r="V80" s="72">
        <f>H80+I80+J80-P80+Q80-R80-T80-U80</f>
        <v>4054.8091999999997</v>
      </c>
      <c r="W80" s="72">
        <f>V80-I80</f>
        <v>3654.8091999999997</v>
      </c>
      <c r="Y80" s="14">
        <f>+H80+I80+J80+Q80-P80-R80-S80-T80-U80</f>
        <v>4054.8091999999997</v>
      </c>
      <c r="Z80" s="14">
        <f>+V80-I80</f>
        <v>3654.8091999999997</v>
      </c>
    </row>
    <row r="81" spans="1:26" s="10" customFormat="1" x14ac:dyDescent="0.25">
      <c r="A81" s="43"/>
      <c r="B81" s="58"/>
      <c r="C81" s="225"/>
      <c r="D81" s="226"/>
      <c r="E81" s="227"/>
      <c r="F81" s="228"/>
      <c r="G81" s="229"/>
      <c r="H81" s="230">
        <f>SUM(H77:H80)</f>
        <v>22268.639999999999</v>
      </c>
      <c r="I81" s="230">
        <f>SUM(I77:I80)</f>
        <v>1200</v>
      </c>
      <c r="J81" s="230">
        <f t="shared" ref="J81:W81" si="39">SUM(J77:J80)</f>
        <v>0</v>
      </c>
      <c r="K81" s="230">
        <f t="shared" si="39"/>
        <v>14715.800000000001</v>
      </c>
      <c r="L81" s="230">
        <f t="shared" si="39"/>
        <v>3857.9799999999991</v>
      </c>
      <c r="M81" s="230">
        <f t="shared" si="39"/>
        <v>1050.6064000000001</v>
      </c>
      <c r="N81" s="230">
        <f t="shared" si="39"/>
        <v>1093.3341519999997</v>
      </c>
      <c r="O81" s="230">
        <f t="shared" si="39"/>
        <v>1219.5</v>
      </c>
      <c r="P81" s="230">
        <f t="shared" si="39"/>
        <v>2622.6141520000001</v>
      </c>
      <c r="Q81" s="230">
        <f t="shared" si="39"/>
        <v>0</v>
      </c>
      <c r="R81" s="230">
        <f t="shared" si="39"/>
        <v>0</v>
      </c>
      <c r="S81" s="230">
        <f t="shared" si="39"/>
        <v>1740</v>
      </c>
      <c r="T81" s="230">
        <f t="shared" si="39"/>
        <v>0</v>
      </c>
      <c r="U81" s="230">
        <f t="shared" si="39"/>
        <v>0</v>
      </c>
      <c r="V81" s="230">
        <f t="shared" si="39"/>
        <v>19106.025847999997</v>
      </c>
      <c r="W81" s="230">
        <f t="shared" si="39"/>
        <v>17906.025847999997</v>
      </c>
      <c r="Y81" s="15">
        <f>SUM(Y77:Y80)</f>
        <v>19106.025847999997</v>
      </c>
      <c r="Z81" s="15">
        <f>SUM(Z77:Z80)</f>
        <v>17906.025847999997</v>
      </c>
    </row>
    <row r="82" spans="1:26" s="10" customFormat="1" x14ac:dyDescent="0.25">
      <c r="A82" s="34"/>
      <c r="B82" s="53"/>
      <c r="C82" s="169"/>
      <c r="D82" s="170"/>
      <c r="E82" s="234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Y82" s="14"/>
      <c r="Z82" s="14"/>
    </row>
    <row r="83" spans="1:26" s="10" customFormat="1" ht="18.75" x14ac:dyDescent="0.25">
      <c r="A83" s="277" t="s">
        <v>388</v>
      </c>
      <c r="B83" s="278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9"/>
      <c r="Y83" s="14"/>
      <c r="Z83" s="14"/>
    </row>
    <row r="84" spans="1:26" s="10" customFormat="1" ht="34.5" customHeight="1" x14ac:dyDescent="0.25">
      <c r="A84" s="31" t="s">
        <v>69</v>
      </c>
      <c r="B84" s="52" t="s">
        <v>588</v>
      </c>
      <c r="C84" s="31" t="s">
        <v>17</v>
      </c>
      <c r="D84" s="31" t="s">
        <v>161</v>
      </c>
      <c r="E84" s="31" t="s">
        <v>143</v>
      </c>
      <c r="F84" s="31" t="s">
        <v>27</v>
      </c>
      <c r="G84" s="31" t="s">
        <v>19</v>
      </c>
      <c r="H84" s="31" t="s">
        <v>18</v>
      </c>
      <c r="I84" s="31" t="s">
        <v>66</v>
      </c>
      <c r="J84" s="31" t="s">
        <v>74</v>
      </c>
      <c r="K84" s="50" t="s">
        <v>301</v>
      </c>
      <c r="L84" s="50" t="s">
        <v>302</v>
      </c>
      <c r="M84" s="50" t="s">
        <v>303</v>
      </c>
      <c r="N84" s="50" t="s">
        <v>304</v>
      </c>
      <c r="O84" s="31" t="s">
        <v>305</v>
      </c>
      <c r="P84" s="31" t="s">
        <v>67</v>
      </c>
      <c r="Q84" s="31" t="s">
        <v>68</v>
      </c>
      <c r="R84" s="31" t="s">
        <v>20</v>
      </c>
      <c r="S84" s="31" t="s">
        <v>452</v>
      </c>
      <c r="T84" s="31" t="s">
        <v>72</v>
      </c>
      <c r="U84" s="31" t="s">
        <v>157</v>
      </c>
      <c r="V84" s="31" t="s">
        <v>155</v>
      </c>
      <c r="W84" s="31" t="s">
        <v>156</v>
      </c>
      <c r="Y84" s="14"/>
      <c r="Z84" s="14"/>
    </row>
    <row r="85" spans="1:26" s="10" customFormat="1" x14ac:dyDescent="0.25">
      <c r="A85" s="32">
        <v>44</v>
      </c>
      <c r="B85" s="48">
        <v>1575053226</v>
      </c>
      <c r="C85" s="16" t="s">
        <v>425</v>
      </c>
      <c r="D85" s="16" t="s">
        <v>487</v>
      </c>
      <c r="E85" s="21" t="s">
        <v>231</v>
      </c>
      <c r="F85" s="67">
        <v>16</v>
      </c>
      <c r="G85" s="76">
        <v>594.66999999999996</v>
      </c>
      <c r="H85" s="76">
        <f>F85*G85</f>
        <v>9514.7199999999993</v>
      </c>
      <c r="I85" s="76"/>
      <c r="J85" s="87"/>
      <c r="K85" s="76">
        <v>5081</v>
      </c>
      <c r="L85" s="72">
        <f>+H85-K85</f>
        <v>4433.7199999999993</v>
      </c>
      <c r="M85" s="77">
        <v>0.21360000000000001</v>
      </c>
      <c r="N85" s="76">
        <f>(H85-5081.01)*21.36%</f>
        <v>947.04045599999972</v>
      </c>
      <c r="O85" s="76">
        <v>538.20000000000005</v>
      </c>
      <c r="P85" s="78">
        <f>N85+O85</f>
        <v>1485.2404559999998</v>
      </c>
      <c r="Q85" s="76"/>
      <c r="R85" s="76"/>
      <c r="S85" s="76"/>
      <c r="T85" s="76"/>
      <c r="U85" s="76"/>
      <c r="V85" s="72">
        <f>H85+I85+J85-P85+Q85-R85-T85-U85</f>
        <v>8029.4795439999998</v>
      </c>
      <c r="W85" s="72">
        <f>V85-I85</f>
        <v>8029.4795439999998</v>
      </c>
      <c r="Y85" s="14">
        <f>+H85+I85+J85+Q85-P85-R85-S85-T85-U85</f>
        <v>8029.4795439999998</v>
      </c>
      <c r="Z85" s="14">
        <f>+V85-I85</f>
        <v>8029.4795439999998</v>
      </c>
    </row>
    <row r="86" spans="1:26" s="10" customFormat="1" x14ac:dyDescent="0.25">
      <c r="A86" s="34"/>
      <c r="B86" s="53"/>
      <c r="C86" s="163"/>
      <c r="D86" s="27"/>
      <c r="E86" s="233"/>
      <c r="F86" s="73"/>
      <c r="G86" s="74"/>
      <c r="H86" s="80">
        <f>+SUM(H85:H85)</f>
        <v>9514.7199999999993</v>
      </c>
      <c r="I86" s="80">
        <f t="shared" ref="I86:W86" si="40">+SUM(I85:I85)</f>
        <v>0</v>
      </c>
      <c r="J86" s="80">
        <f t="shared" si="40"/>
        <v>0</v>
      </c>
      <c r="K86" s="80">
        <f t="shared" si="40"/>
        <v>5081</v>
      </c>
      <c r="L86" s="80">
        <f t="shared" si="40"/>
        <v>4433.7199999999993</v>
      </c>
      <c r="M86" s="80">
        <f t="shared" si="40"/>
        <v>0.21360000000000001</v>
      </c>
      <c r="N86" s="80">
        <f t="shared" si="40"/>
        <v>947.04045599999972</v>
      </c>
      <c r="O86" s="80">
        <f t="shared" si="40"/>
        <v>538.20000000000005</v>
      </c>
      <c r="P86" s="80">
        <f t="shared" si="40"/>
        <v>1485.2404559999998</v>
      </c>
      <c r="Q86" s="80">
        <f t="shared" si="40"/>
        <v>0</v>
      </c>
      <c r="R86" s="80">
        <f t="shared" si="40"/>
        <v>0</v>
      </c>
      <c r="S86" s="80">
        <f t="shared" si="40"/>
        <v>0</v>
      </c>
      <c r="T86" s="80">
        <f t="shared" si="40"/>
        <v>0</v>
      </c>
      <c r="U86" s="80">
        <f t="shared" si="40"/>
        <v>0</v>
      </c>
      <c r="V86" s="80">
        <f t="shared" si="40"/>
        <v>8029.4795439999998</v>
      </c>
      <c r="W86" s="80">
        <f t="shared" si="40"/>
        <v>8029.4795439999998</v>
      </c>
      <c r="Y86" s="15">
        <f>+SUM(Y85:Y85)</f>
        <v>8029.4795439999998</v>
      </c>
      <c r="Z86" s="15">
        <f>+SUM(Z85:Z85)</f>
        <v>8029.4795439999998</v>
      </c>
    </row>
    <row r="87" spans="1:26" s="10" customFormat="1" x14ac:dyDescent="0.25">
      <c r="A87" s="34"/>
      <c r="B87" s="53"/>
      <c r="C87" s="163"/>
      <c r="D87" s="27"/>
      <c r="E87" s="233"/>
      <c r="F87" s="73"/>
      <c r="G87" s="74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Y87" s="14"/>
      <c r="Z87" s="14"/>
    </row>
    <row r="88" spans="1:26" s="10" customFormat="1" ht="18.75" x14ac:dyDescent="0.25">
      <c r="A88" s="280" t="s">
        <v>389</v>
      </c>
      <c r="B88" s="281"/>
      <c r="C88" s="281"/>
      <c r="D88" s="281"/>
      <c r="E88" s="281"/>
      <c r="F88" s="281"/>
      <c r="G88" s="281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2"/>
      <c r="Y88" s="14"/>
      <c r="Z88" s="14"/>
    </row>
    <row r="89" spans="1:26" s="10" customFormat="1" ht="35.25" customHeight="1" x14ac:dyDescent="0.25">
      <c r="A89" s="31" t="s">
        <v>69</v>
      </c>
      <c r="B89" s="52" t="s">
        <v>588</v>
      </c>
      <c r="C89" s="31" t="s">
        <v>17</v>
      </c>
      <c r="D89" s="31" t="s">
        <v>161</v>
      </c>
      <c r="E89" s="31" t="s">
        <v>143</v>
      </c>
      <c r="F89" s="31" t="s">
        <v>27</v>
      </c>
      <c r="G89" s="31" t="s">
        <v>19</v>
      </c>
      <c r="H89" s="31" t="s">
        <v>18</v>
      </c>
      <c r="I89" s="31" t="s">
        <v>66</v>
      </c>
      <c r="J89" s="31" t="s">
        <v>74</v>
      </c>
      <c r="K89" s="50" t="s">
        <v>301</v>
      </c>
      <c r="L89" s="50" t="s">
        <v>302</v>
      </c>
      <c r="M89" s="50" t="s">
        <v>303</v>
      </c>
      <c r="N89" s="50" t="s">
        <v>304</v>
      </c>
      <c r="O89" s="31" t="s">
        <v>305</v>
      </c>
      <c r="P89" s="31" t="s">
        <v>67</v>
      </c>
      <c r="Q89" s="31" t="s">
        <v>68</v>
      </c>
      <c r="R89" s="31" t="s">
        <v>20</v>
      </c>
      <c r="S89" s="31" t="s">
        <v>452</v>
      </c>
      <c r="T89" s="31" t="s">
        <v>72</v>
      </c>
      <c r="U89" s="31" t="s">
        <v>157</v>
      </c>
      <c r="V89" s="31" t="s">
        <v>155</v>
      </c>
      <c r="W89" s="31" t="s">
        <v>156</v>
      </c>
      <c r="Y89" s="14"/>
      <c r="Z89" s="14"/>
    </row>
    <row r="90" spans="1:26" s="10" customFormat="1" ht="27" x14ac:dyDescent="0.25">
      <c r="A90" s="32">
        <v>45</v>
      </c>
      <c r="B90" s="48">
        <v>1585781500</v>
      </c>
      <c r="C90" s="16" t="s">
        <v>203</v>
      </c>
      <c r="D90" s="168" t="s">
        <v>488</v>
      </c>
      <c r="E90" s="21" t="s">
        <v>536</v>
      </c>
      <c r="F90" s="67">
        <v>16</v>
      </c>
      <c r="G90" s="76">
        <v>594.66999999999996</v>
      </c>
      <c r="H90" s="76">
        <f>F90*G90</f>
        <v>9514.7199999999993</v>
      </c>
      <c r="I90" s="64"/>
      <c r="J90" s="64"/>
      <c r="K90" s="76">
        <v>5081</v>
      </c>
      <c r="L90" s="72">
        <f>+H90-K90</f>
        <v>4433.7199999999993</v>
      </c>
      <c r="M90" s="77">
        <v>0.21360000000000001</v>
      </c>
      <c r="N90" s="76">
        <f>(H90-5081.01)*21.36%</f>
        <v>947.04045599999972</v>
      </c>
      <c r="O90" s="76">
        <v>538.20000000000005</v>
      </c>
      <c r="P90" s="76">
        <f>N90+O90</f>
        <v>1485.2404559999998</v>
      </c>
      <c r="Q90" s="76">
        <f>VLOOKUP($H$90,Tabsub,3)</f>
        <v>0</v>
      </c>
      <c r="R90" s="64"/>
      <c r="S90" s="64"/>
      <c r="T90" s="64"/>
      <c r="U90" s="64"/>
      <c r="V90" s="72">
        <f>H90+I90+J90-P90+Q90-R90-S90-T90-U90</f>
        <v>8029.4795439999998</v>
      </c>
      <c r="W90" s="72">
        <f>V90-I90</f>
        <v>8029.4795439999998</v>
      </c>
      <c r="Y90" s="14">
        <f>+H90+I90+J90+Q90-P90-R90-S90-T90-U90</f>
        <v>8029.4795439999998</v>
      </c>
      <c r="Z90" s="14">
        <f>+V90-I90</f>
        <v>8029.4795439999998</v>
      </c>
    </row>
    <row r="91" spans="1:26" s="10" customFormat="1" x14ac:dyDescent="0.25">
      <c r="A91" s="32">
        <v>83</v>
      </c>
      <c r="B91" s="48">
        <v>1518082669</v>
      </c>
      <c r="C91" s="16" t="s">
        <v>545</v>
      </c>
      <c r="D91" s="19" t="s">
        <v>163</v>
      </c>
      <c r="E91" s="19" t="s">
        <v>546</v>
      </c>
      <c r="F91" s="67">
        <v>16</v>
      </c>
      <c r="G91" s="247">
        <v>250.29</v>
      </c>
      <c r="H91" s="247">
        <f>F91*G91</f>
        <v>4004.64</v>
      </c>
      <c r="I91" s="154">
        <v>400</v>
      </c>
      <c r="J91" s="247"/>
      <c r="K91" s="247">
        <f>VLOOKUP($H$72,Tabisr,1)</f>
        <v>3651.01</v>
      </c>
      <c r="L91" s="247">
        <f>+H91-K91</f>
        <v>353.62999999999965</v>
      </c>
      <c r="M91" s="247">
        <f>VLOOKUP($H$72,Tabisr,4)</f>
        <v>0.16</v>
      </c>
      <c r="N91" s="247">
        <f>(H91-3651.01)*16%</f>
        <v>56.580799999999947</v>
      </c>
      <c r="O91" s="247">
        <v>293.25</v>
      </c>
      <c r="P91" s="215">
        <f>O91+N91</f>
        <v>349.83079999999995</v>
      </c>
      <c r="Q91" s="247"/>
      <c r="R91" s="247"/>
      <c r="S91" s="248">
        <v>1138</v>
      </c>
      <c r="T91" s="247"/>
      <c r="U91" s="247"/>
      <c r="V91" s="215">
        <f>H91+I91+J91-P91+Q91-R91-S91-T91-U91</f>
        <v>2916.8091999999997</v>
      </c>
      <c r="W91" s="215">
        <f>V91-I91</f>
        <v>2516.8091999999997</v>
      </c>
      <c r="Y91" s="14">
        <f>+H91+I91+J91+Q91-P91-R91-S91-T91-U91</f>
        <v>2916.8091999999997</v>
      </c>
      <c r="Z91" s="14">
        <f>+V91-I91</f>
        <v>2516.8091999999997</v>
      </c>
    </row>
    <row r="92" spans="1:26" s="10" customFormat="1" x14ac:dyDescent="0.25">
      <c r="A92" s="34"/>
      <c r="B92" s="53" t="s">
        <v>531</v>
      </c>
      <c r="C92" s="163"/>
      <c r="D92" s="27"/>
      <c r="E92" s="233"/>
      <c r="F92" s="73"/>
      <c r="G92" s="74"/>
      <c r="H92" s="80">
        <f>+SUM(H90:H91)</f>
        <v>13519.359999999999</v>
      </c>
      <c r="I92" s="80">
        <f>+SUM(I90:I91)</f>
        <v>400</v>
      </c>
      <c r="J92" s="80">
        <f t="shared" ref="J92:W92" si="41">+SUM(J90:J91)</f>
        <v>0</v>
      </c>
      <c r="K92" s="80">
        <f t="shared" si="41"/>
        <v>8732.01</v>
      </c>
      <c r="L92" s="80">
        <f t="shared" si="41"/>
        <v>4787.3499999999985</v>
      </c>
      <c r="M92" s="80">
        <f t="shared" si="41"/>
        <v>0.37360000000000004</v>
      </c>
      <c r="N92" s="80">
        <f t="shared" si="41"/>
        <v>1003.6212559999997</v>
      </c>
      <c r="O92" s="80">
        <f t="shared" si="41"/>
        <v>831.45</v>
      </c>
      <c r="P92" s="80">
        <f t="shared" si="41"/>
        <v>1835.0712559999997</v>
      </c>
      <c r="Q92" s="80">
        <f t="shared" si="41"/>
        <v>0</v>
      </c>
      <c r="R92" s="80">
        <f t="shared" si="41"/>
        <v>0</v>
      </c>
      <c r="S92" s="80">
        <f t="shared" si="41"/>
        <v>1138</v>
      </c>
      <c r="T92" s="80">
        <f t="shared" si="41"/>
        <v>0</v>
      </c>
      <c r="U92" s="80">
        <f t="shared" si="41"/>
        <v>0</v>
      </c>
      <c r="V92" s="80">
        <f t="shared" si="41"/>
        <v>10946.288743999999</v>
      </c>
      <c r="W92" s="80">
        <f t="shared" si="41"/>
        <v>10546.288743999999</v>
      </c>
      <c r="Y92" s="15">
        <f>+SUM(Y90:Y91)</f>
        <v>10946.288743999999</v>
      </c>
      <c r="Z92" s="15">
        <f>+SUM(Z90:Z91)</f>
        <v>10546.288743999999</v>
      </c>
    </row>
    <row r="93" spans="1:26" s="10" customFormat="1" x14ac:dyDescent="0.25">
      <c r="A93" s="34"/>
      <c r="B93" s="53"/>
      <c r="C93" s="163"/>
      <c r="D93" s="27"/>
      <c r="E93" s="233"/>
      <c r="F93" s="73"/>
      <c r="G93" s="74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Y93" s="14"/>
      <c r="Z93" s="14"/>
    </row>
    <row r="94" spans="1:26" s="10" customFormat="1" x14ac:dyDescent="0.25">
      <c r="A94" s="34"/>
      <c r="B94" s="53"/>
      <c r="C94" s="163"/>
      <c r="D94" s="27"/>
      <c r="E94" s="233"/>
      <c r="F94" s="73"/>
      <c r="G94" s="74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Y94" s="14"/>
      <c r="Z94" s="14"/>
    </row>
    <row r="95" spans="1:26" s="10" customFormat="1" ht="18.75" x14ac:dyDescent="0.25">
      <c r="A95" s="280" t="s">
        <v>390</v>
      </c>
      <c r="B95" s="281"/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2"/>
      <c r="Y95" s="14"/>
      <c r="Z95" s="14"/>
    </row>
    <row r="96" spans="1:26" s="10" customFormat="1" ht="31.5" customHeight="1" x14ac:dyDescent="0.25">
      <c r="A96" s="31" t="s">
        <v>69</v>
      </c>
      <c r="B96" s="52" t="s">
        <v>588</v>
      </c>
      <c r="C96" s="31" t="s">
        <v>17</v>
      </c>
      <c r="D96" s="31" t="s">
        <v>161</v>
      </c>
      <c r="E96" s="31" t="s">
        <v>143</v>
      </c>
      <c r="F96" s="31" t="s">
        <v>27</v>
      </c>
      <c r="G96" s="31" t="s">
        <v>19</v>
      </c>
      <c r="H96" s="31" t="s">
        <v>18</v>
      </c>
      <c r="I96" s="31" t="s">
        <v>66</v>
      </c>
      <c r="J96" s="31" t="s">
        <v>74</v>
      </c>
      <c r="K96" s="50" t="s">
        <v>301</v>
      </c>
      <c r="L96" s="50" t="s">
        <v>302</v>
      </c>
      <c r="M96" s="50" t="s">
        <v>303</v>
      </c>
      <c r="N96" s="50" t="s">
        <v>304</v>
      </c>
      <c r="O96" s="31" t="s">
        <v>305</v>
      </c>
      <c r="P96" s="31" t="s">
        <v>67</v>
      </c>
      <c r="Q96" s="31" t="s">
        <v>68</v>
      </c>
      <c r="R96" s="31" t="s">
        <v>20</v>
      </c>
      <c r="S96" s="31" t="s">
        <v>452</v>
      </c>
      <c r="T96" s="31" t="s">
        <v>72</v>
      </c>
      <c r="U96" s="31" t="s">
        <v>157</v>
      </c>
      <c r="V96" s="31" t="s">
        <v>155</v>
      </c>
      <c r="W96" s="31" t="s">
        <v>156</v>
      </c>
      <c r="Y96" s="14"/>
      <c r="Z96" s="14"/>
    </row>
    <row r="97" spans="1:26" s="10" customFormat="1" x14ac:dyDescent="0.25">
      <c r="A97" s="36">
        <v>47</v>
      </c>
      <c r="B97" s="55"/>
      <c r="C97" s="18" t="s">
        <v>458</v>
      </c>
      <c r="D97" s="165" t="s">
        <v>260</v>
      </c>
      <c r="E97" s="165"/>
      <c r="F97" s="82"/>
      <c r="G97" s="83"/>
      <c r="H97" s="83"/>
      <c r="I97" s="83"/>
      <c r="J97" s="83"/>
      <c r="K97" s="83"/>
      <c r="L97" s="85"/>
      <c r="M97" s="86"/>
      <c r="N97" s="83"/>
      <c r="O97" s="83"/>
      <c r="P97" s="83"/>
      <c r="Q97" s="83"/>
      <c r="R97" s="83"/>
      <c r="S97" s="83"/>
      <c r="T97" s="83"/>
      <c r="U97" s="83"/>
      <c r="V97" s="85"/>
      <c r="W97" s="85"/>
      <c r="Y97" s="14">
        <f>+H97+I97+J97+Q97-P97-R97-S97-T97-U97</f>
        <v>0</v>
      </c>
      <c r="Z97" s="14">
        <f>+V97-I97</f>
        <v>0</v>
      </c>
    </row>
    <row r="98" spans="1:26" s="10" customFormat="1" x14ac:dyDescent="0.25">
      <c r="A98" s="33">
        <v>48</v>
      </c>
      <c r="B98" s="48">
        <v>1585781526</v>
      </c>
      <c r="C98" s="16" t="s">
        <v>201</v>
      </c>
      <c r="D98" s="162" t="s">
        <v>175</v>
      </c>
      <c r="E98" s="162" t="s">
        <v>208</v>
      </c>
      <c r="F98" s="90">
        <v>16</v>
      </c>
      <c r="G98" s="68">
        <v>296.54000000000002</v>
      </c>
      <c r="H98" s="68">
        <f>F98*G98</f>
        <v>4744.6400000000003</v>
      </c>
      <c r="I98" s="68">
        <v>400</v>
      </c>
      <c r="J98" s="68"/>
      <c r="K98" s="68">
        <f>VLOOKUP($H$90,Tabisr,1)</f>
        <v>5081.01</v>
      </c>
      <c r="L98" s="70">
        <f>+H98-K98</f>
        <v>-336.36999999999989</v>
      </c>
      <c r="M98" s="71">
        <f>VLOOKUP($H$90,Tabisr,4)</f>
        <v>0.21360000000000001</v>
      </c>
      <c r="N98" s="68">
        <f>(H98-4244.01)*17.92%</f>
        <v>89.712896000000029</v>
      </c>
      <c r="O98" s="76">
        <v>388.05</v>
      </c>
      <c r="P98" s="68">
        <f>N98+O98</f>
        <v>477.76289600000007</v>
      </c>
      <c r="Q98" s="68"/>
      <c r="R98" s="68"/>
      <c r="S98" s="68"/>
      <c r="T98" s="68"/>
      <c r="U98" s="68"/>
      <c r="V98" s="72">
        <f>H98+I98+J98-P98+Q98-R98-S98-T98-U98</f>
        <v>4666.8771040000001</v>
      </c>
      <c r="W98" s="70">
        <f>V98-I98</f>
        <v>4266.8771040000001</v>
      </c>
      <c r="Y98" s="14">
        <f>+H98+I98+J98+Q98-P98-R98-S98-T98-U98</f>
        <v>4666.8771040000001</v>
      </c>
      <c r="Z98" s="14">
        <f>+V98-I98</f>
        <v>4266.8771040000001</v>
      </c>
    </row>
    <row r="99" spans="1:26" s="10" customFormat="1" x14ac:dyDescent="0.25">
      <c r="A99" s="34"/>
      <c r="B99" s="53"/>
      <c r="C99" s="169"/>
      <c r="D99" s="170"/>
      <c r="E99" s="234"/>
      <c r="F99" s="88"/>
      <c r="G99" s="88"/>
      <c r="H99" s="93">
        <f>+SUM(H97:H98)</f>
        <v>4744.6400000000003</v>
      </c>
      <c r="I99" s="93">
        <f>+SUM(I97:I98)</f>
        <v>400</v>
      </c>
      <c r="J99" s="93">
        <f t="shared" ref="J99:W99" si="42">+SUM(J97:J98)</f>
        <v>0</v>
      </c>
      <c r="K99" s="93">
        <f t="shared" si="42"/>
        <v>5081.01</v>
      </c>
      <c r="L99" s="93">
        <f t="shared" si="42"/>
        <v>-336.36999999999989</v>
      </c>
      <c r="M99" s="93">
        <f t="shared" si="42"/>
        <v>0.21360000000000001</v>
      </c>
      <c r="N99" s="93">
        <f t="shared" si="42"/>
        <v>89.712896000000029</v>
      </c>
      <c r="O99" s="93">
        <f t="shared" si="42"/>
        <v>388.05</v>
      </c>
      <c r="P99" s="93">
        <f t="shared" si="42"/>
        <v>477.76289600000007</v>
      </c>
      <c r="Q99" s="93">
        <f t="shared" si="42"/>
        <v>0</v>
      </c>
      <c r="R99" s="93">
        <f t="shared" si="42"/>
        <v>0</v>
      </c>
      <c r="S99" s="93">
        <f t="shared" si="42"/>
        <v>0</v>
      </c>
      <c r="T99" s="93">
        <f t="shared" si="42"/>
        <v>0</v>
      </c>
      <c r="U99" s="93">
        <f t="shared" si="42"/>
        <v>0</v>
      </c>
      <c r="V99" s="93">
        <f t="shared" si="42"/>
        <v>4666.8771040000001</v>
      </c>
      <c r="W99" s="93">
        <f t="shared" si="42"/>
        <v>4266.8771040000001</v>
      </c>
      <c r="Y99" s="15">
        <f>+SUM(Y97:Y98)</f>
        <v>4666.8771040000001</v>
      </c>
      <c r="Z99" s="15">
        <f>+SUM(Z97:Z98)</f>
        <v>4266.8771040000001</v>
      </c>
    </row>
    <row r="100" spans="1:26" s="10" customFormat="1" x14ac:dyDescent="0.25">
      <c r="A100" s="34"/>
      <c r="B100" s="53"/>
      <c r="C100" s="169"/>
      <c r="D100" s="170"/>
      <c r="E100" s="234"/>
      <c r="F100" s="88"/>
      <c r="G100" s="88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Y100" s="14"/>
      <c r="Z100" s="14"/>
    </row>
    <row r="101" spans="1:26" s="10" customFormat="1" ht="18.75" x14ac:dyDescent="0.25">
      <c r="A101" s="277" t="s">
        <v>571</v>
      </c>
      <c r="B101" s="278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9"/>
      <c r="Y101" s="14"/>
      <c r="Z101" s="14"/>
    </row>
    <row r="102" spans="1:26" s="10" customFormat="1" ht="33.75" customHeight="1" x14ac:dyDescent="0.25">
      <c r="A102" s="31" t="s">
        <v>69</v>
      </c>
      <c r="B102" s="52" t="s">
        <v>588</v>
      </c>
      <c r="C102" s="31" t="s">
        <v>17</v>
      </c>
      <c r="D102" s="31" t="s">
        <v>161</v>
      </c>
      <c r="E102" s="31" t="s">
        <v>143</v>
      </c>
      <c r="F102" s="31" t="s">
        <v>27</v>
      </c>
      <c r="G102" s="31" t="s">
        <v>19</v>
      </c>
      <c r="H102" s="31" t="s">
        <v>18</v>
      </c>
      <c r="I102" s="31" t="s">
        <v>66</v>
      </c>
      <c r="J102" s="31" t="s">
        <v>74</v>
      </c>
      <c r="K102" s="50" t="s">
        <v>301</v>
      </c>
      <c r="L102" s="50" t="s">
        <v>302</v>
      </c>
      <c r="M102" s="50" t="s">
        <v>303</v>
      </c>
      <c r="N102" s="50" t="s">
        <v>304</v>
      </c>
      <c r="O102" s="31" t="s">
        <v>305</v>
      </c>
      <c r="P102" s="31" t="s">
        <v>67</v>
      </c>
      <c r="Q102" s="31" t="s">
        <v>68</v>
      </c>
      <c r="R102" s="31" t="s">
        <v>20</v>
      </c>
      <c r="S102" s="31" t="s">
        <v>452</v>
      </c>
      <c r="T102" s="31" t="s">
        <v>72</v>
      </c>
      <c r="U102" s="31" t="s">
        <v>157</v>
      </c>
      <c r="V102" s="31" t="s">
        <v>155</v>
      </c>
      <c r="W102" s="31" t="s">
        <v>156</v>
      </c>
      <c r="Y102" s="14"/>
      <c r="Z102" s="14"/>
    </row>
    <row r="103" spans="1:26" s="12" customFormat="1" x14ac:dyDescent="0.25">
      <c r="A103" s="39">
        <v>49</v>
      </c>
      <c r="B103" s="56"/>
      <c r="C103" s="22" t="s">
        <v>217</v>
      </c>
      <c r="D103" s="172" t="s">
        <v>555</v>
      </c>
      <c r="E103" s="202" t="s">
        <v>232</v>
      </c>
      <c r="F103" s="94">
        <v>16</v>
      </c>
      <c r="G103" s="95">
        <v>594.66999999999996</v>
      </c>
      <c r="H103" s="95">
        <f>F103*G103</f>
        <v>9514.7199999999993</v>
      </c>
      <c r="I103" s="96"/>
      <c r="J103" s="96"/>
      <c r="K103" s="95">
        <v>5081</v>
      </c>
      <c r="L103" s="97">
        <f>+H103-K103</f>
        <v>4433.7199999999993</v>
      </c>
      <c r="M103" s="98">
        <v>0.21360000000000001</v>
      </c>
      <c r="N103" s="95">
        <f>(H103-5081.01)*21.36%</f>
        <v>947.04045599999972</v>
      </c>
      <c r="O103" s="95">
        <v>538.20000000000005</v>
      </c>
      <c r="P103" s="95">
        <f>N103+O103</f>
        <v>1485.2404559999998</v>
      </c>
      <c r="Q103" s="95">
        <f>VLOOKUP($H$90,Tabsub,3)</f>
        <v>0</v>
      </c>
      <c r="R103" s="96"/>
      <c r="S103" s="96"/>
      <c r="T103" s="96"/>
      <c r="U103" s="96"/>
      <c r="V103" s="97">
        <f>H103+I103+J103-P103+Q103-R103-S103-T103-U103</f>
        <v>8029.4795439999998</v>
      </c>
      <c r="W103" s="97">
        <f>V103-I103</f>
        <v>8029.4795439999998</v>
      </c>
      <c r="Y103" s="25">
        <f>+H103+I103+J103+Q103-P103-R103-S103-T103-U103</f>
        <v>8029.4795439999998</v>
      </c>
      <c r="Z103" s="25">
        <f>+V103-I103</f>
        <v>8029.4795439999998</v>
      </c>
    </row>
    <row r="104" spans="1:26" s="10" customFormat="1" x14ac:dyDescent="0.25">
      <c r="A104" s="32">
        <v>50</v>
      </c>
      <c r="B104" s="48">
        <v>1585781534</v>
      </c>
      <c r="C104" s="16" t="s">
        <v>316</v>
      </c>
      <c r="D104" s="16" t="s">
        <v>216</v>
      </c>
      <c r="E104" s="21" t="s">
        <v>317</v>
      </c>
      <c r="F104" s="67">
        <v>16</v>
      </c>
      <c r="G104" s="76">
        <v>393.95</v>
      </c>
      <c r="H104" s="76">
        <f>F104*G104</f>
        <v>6303.2</v>
      </c>
      <c r="I104" s="76">
        <v>400</v>
      </c>
      <c r="J104" s="87"/>
      <c r="K104" s="76">
        <f>VLOOKUP($H$206,Tabisr,1)</f>
        <v>5081.01</v>
      </c>
      <c r="L104" s="72">
        <f>+H104-K104</f>
        <v>1222.1899999999996</v>
      </c>
      <c r="M104" s="77">
        <f>VLOOKUP($H$206,Tabisr,4)</f>
        <v>0.21360000000000001</v>
      </c>
      <c r="N104" s="76">
        <f>+L104*M104</f>
        <v>261.05978399999992</v>
      </c>
      <c r="O104" s="76">
        <f>VLOOKUP($H$206,Tabisr,3)</f>
        <v>538.20000000000005</v>
      </c>
      <c r="P104" s="64">
        <f>+N104+O104</f>
        <v>799.25978399999997</v>
      </c>
      <c r="Q104" s="76"/>
      <c r="R104" s="76"/>
      <c r="S104" s="76"/>
      <c r="T104" s="76"/>
      <c r="U104" s="76"/>
      <c r="V104" s="72">
        <f>H104+I104+J104-P104+Q104-R104-S104-T104-U104</f>
        <v>5903.940216</v>
      </c>
      <c r="W104" s="72">
        <f>V104-I104</f>
        <v>5503.940216</v>
      </c>
      <c r="Y104" s="14">
        <f>+H104+I104+J104+Q104-P104-R104-S104-T104-U104</f>
        <v>5903.940216</v>
      </c>
      <c r="Z104" s="14">
        <f>+V104-I104</f>
        <v>5503.940216</v>
      </c>
    </row>
    <row r="105" spans="1:26" s="10" customFormat="1" x14ac:dyDescent="0.25">
      <c r="A105" s="32">
        <v>51</v>
      </c>
      <c r="B105" s="48">
        <v>1585781544</v>
      </c>
      <c r="C105" s="16" t="s">
        <v>21</v>
      </c>
      <c r="D105" s="19" t="s">
        <v>570</v>
      </c>
      <c r="E105" s="21" t="s">
        <v>86</v>
      </c>
      <c r="F105" s="67">
        <v>16</v>
      </c>
      <c r="G105" s="76">
        <v>296.54000000000002</v>
      </c>
      <c r="H105" s="76">
        <f>F105*G105</f>
        <v>4744.6400000000003</v>
      </c>
      <c r="I105" s="76">
        <v>400</v>
      </c>
      <c r="J105" s="32"/>
      <c r="K105" s="76">
        <f>VLOOKUP($H$90,Tabisr,1)</f>
        <v>5081.01</v>
      </c>
      <c r="L105" s="72">
        <f>+H105-K105</f>
        <v>-336.36999999999989</v>
      </c>
      <c r="M105" s="77">
        <f>VLOOKUP($H$90,Tabisr,4)</f>
        <v>0.21360000000000001</v>
      </c>
      <c r="N105" s="76">
        <f>(H105-4244.01)*17.92%</f>
        <v>89.712896000000029</v>
      </c>
      <c r="O105" s="76">
        <v>388.05</v>
      </c>
      <c r="P105" s="76">
        <f>N105+O105</f>
        <v>477.76289600000007</v>
      </c>
      <c r="Q105" s="76"/>
      <c r="R105" s="32"/>
      <c r="S105" s="32">
        <v>2345</v>
      </c>
      <c r="T105" s="32"/>
      <c r="U105" s="35"/>
      <c r="V105" s="72">
        <f>H105+I105+J105-P105+Q105-R105-S105-T105-U105</f>
        <v>2321.8771040000001</v>
      </c>
      <c r="W105" s="72">
        <f>V105-I105</f>
        <v>1921.8771040000001</v>
      </c>
      <c r="Y105" s="14">
        <f>+H105+I105+J105+Q105-P105-R105-S105-T105-U105</f>
        <v>2321.8771040000001</v>
      </c>
      <c r="Z105" s="14">
        <f>+V105-I105</f>
        <v>1921.8771040000001</v>
      </c>
    </row>
    <row r="106" spans="1:26" s="10" customFormat="1" x14ac:dyDescent="0.25">
      <c r="A106" s="34"/>
      <c r="B106" s="53"/>
      <c r="C106" s="169"/>
      <c r="D106" s="170"/>
      <c r="E106" s="234"/>
      <c r="F106" s="88"/>
      <c r="G106" s="88"/>
      <c r="H106" s="89">
        <f>+SUM(H103:H105)</f>
        <v>20562.559999999998</v>
      </c>
      <c r="I106" s="89">
        <f>+SUM(I103:I105)</f>
        <v>800</v>
      </c>
      <c r="J106" s="89">
        <f t="shared" ref="J106:R106" si="43">+SUM(J104:J105)</f>
        <v>0</v>
      </c>
      <c r="K106" s="89">
        <f t="shared" si="43"/>
        <v>10162.02</v>
      </c>
      <c r="L106" s="89">
        <f t="shared" si="43"/>
        <v>885.81999999999971</v>
      </c>
      <c r="M106" s="89">
        <f t="shared" si="43"/>
        <v>0.42720000000000002</v>
      </c>
      <c r="N106" s="89">
        <f t="shared" si="43"/>
        <v>350.77267999999992</v>
      </c>
      <c r="O106" s="89">
        <f t="shared" si="43"/>
        <v>926.25</v>
      </c>
      <c r="P106" s="89">
        <f>+SUM(P103:P105)</f>
        <v>2762.263136</v>
      </c>
      <c r="Q106" s="89">
        <f t="shared" si="43"/>
        <v>0</v>
      </c>
      <c r="R106" s="89">
        <f t="shared" si="43"/>
        <v>0</v>
      </c>
      <c r="S106" s="89">
        <f>+SUM(S103:S105)</f>
        <v>2345</v>
      </c>
      <c r="T106" s="89">
        <f>+SUM(T103:T105)</f>
        <v>0</v>
      </c>
      <c r="U106" s="89">
        <f>+SUM(U103:U105)</f>
        <v>0</v>
      </c>
      <c r="V106" s="89">
        <f>+SUM(V103:V105)</f>
        <v>16255.296864</v>
      </c>
      <c r="W106" s="89">
        <f>+SUM(W103:W105)</f>
        <v>15455.296864</v>
      </c>
      <c r="Y106" s="15">
        <f>+SUM(Y103:Y105)</f>
        <v>16255.296864</v>
      </c>
      <c r="Z106" s="15">
        <f>+SUM(Z103:Z105)</f>
        <v>15455.296864</v>
      </c>
    </row>
    <row r="107" spans="1:26" s="10" customFormat="1" x14ac:dyDescent="0.25">
      <c r="A107" s="34"/>
      <c r="B107" s="53"/>
      <c r="C107" s="169"/>
      <c r="D107" s="170"/>
      <c r="E107" s="234"/>
      <c r="F107" s="88"/>
      <c r="G107" s="88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Y107" s="14"/>
      <c r="Z107" s="14"/>
    </row>
    <row r="108" spans="1:26" s="10" customFormat="1" ht="18.75" x14ac:dyDescent="0.25">
      <c r="A108" s="277" t="s">
        <v>391</v>
      </c>
      <c r="B108" s="278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9"/>
      <c r="Y108" s="14"/>
      <c r="Z108" s="14"/>
    </row>
    <row r="109" spans="1:26" s="10" customFormat="1" ht="31.5" customHeight="1" x14ac:dyDescent="0.25">
      <c r="A109" s="31" t="s">
        <v>69</v>
      </c>
      <c r="B109" s="52" t="s">
        <v>588</v>
      </c>
      <c r="C109" s="31" t="s">
        <v>17</v>
      </c>
      <c r="D109" s="31" t="s">
        <v>161</v>
      </c>
      <c r="E109" s="31" t="s">
        <v>143</v>
      </c>
      <c r="F109" s="31" t="s">
        <v>27</v>
      </c>
      <c r="G109" s="31" t="s">
        <v>19</v>
      </c>
      <c r="H109" s="31" t="s">
        <v>18</v>
      </c>
      <c r="I109" s="31" t="s">
        <v>66</v>
      </c>
      <c r="J109" s="31" t="s">
        <v>74</v>
      </c>
      <c r="K109" s="50" t="s">
        <v>301</v>
      </c>
      <c r="L109" s="50" t="s">
        <v>302</v>
      </c>
      <c r="M109" s="50" t="s">
        <v>303</v>
      </c>
      <c r="N109" s="50" t="s">
        <v>304</v>
      </c>
      <c r="O109" s="31" t="s">
        <v>305</v>
      </c>
      <c r="P109" s="31" t="s">
        <v>67</v>
      </c>
      <c r="Q109" s="31" t="s">
        <v>68</v>
      </c>
      <c r="R109" s="31" t="s">
        <v>20</v>
      </c>
      <c r="S109" s="31" t="s">
        <v>452</v>
      </c>
      <c r="T109" s="31" t="s">
        <v>72</v>
      </c>
      <c r="U109" s="31" t="s">
        <v>157</v>
      </c>
      <c r="V109" s="31" t="s">
        <v>155</v>
      </c>
      <c r="W109" s="31" t="s">
        <v>156</v>
      </c>
      <c r="Y109" s="14"/>
      <c r="Z109" s="14"/>
    </row>
    <row r="110" spans="1:26" s="10" customFormat="1" x14ac:dyDescent="0.25">
      <c r="A110" s="32">
        <v>52</v>
      </c>
      <c r="B110" s="48">
        <v>1585781551</v>
      </c>
      <c r="C110" s="16" t="s">
        <v>45</v>
      </c>
      <c r="D110" s="168" t="s">
        <v>168</v>
      </c>
      <c r="E110" s="21" t="s">
        <v>123</v>
      </c>
      <c r="F110" s="67">
        <v>16</v>
      </c>
      <c r="G110" s="76">
        <v>296.54000000000002</v>
      </c>
      <c r="H110" s="76">
        <f t="shared" ref="H110:H115" si="44">F110*G110</f>
        <v>4744.6400000000003</v>
      </c>
      <c r="I110" s="64">
        <v>400</v>
      </c>
      <c r="J110" s="64"/>
      <c r="K110" s="76">
        <f>VLOOKUP($H$90,Tabisr,1)</f>
        <v>5081.01</v>
      </c>
      <c r="L110" s="72">
        <f>+H110-K110</f>
        <v>-336.36999999999989</v>
      </c>
      <c r="M110" s="77">
        <f>VLOOKUP($H$90,Tabisr,4)</f>
        <v>0.21360000000000001</v>
      </c>
      <c r="N110" s="76">
        <f>(H110-4244.01)*17.92%</f>
        <v>89.712896000000029</v>
      </c>
      <c r="O110" s="76">
        <v>388.05</v>
      </c>
      <c r="P110" s="76">
        <f>N110+O110</f>
        <v>477.76289600000007</v>
      </c>
      <c r="Q110" s="76">
        <f>VLOOKUP($H$90,Tabsub,3)</f>
        <v>0</v>
      </c>
      <c r="R110" s="64"/>
      <c r="S110" s="64"/>
      <c r="T110" s="64"/>
      <c r="U110" s="64"/>
      <c r="V110" s="72">
        <f t="shared" ref="V110:V115" si="45">H110+I110+J110-P110+Q110-R110-S110-T110-U110</f>
        <v>4666.8771040000001</v>
      </c>
      <c r="W110" s="72">
        <f t="shared" ref="W110:W115" si="46">V110-I110</f>
        <v>4266.8771040000001</v>
      </c>
      <c r="Y110" s="14">
        <f t="shared" ref="Y110:Y115" si="47">+H110+I110+J110+Q110-P110-R110-S110-T110-U110</f>
        <v>4666.8771040000001</v>
      </c>
      <c r="Z110" s="14">
        <f t="shared" ref="Z110:Z115" si="48">+V110-I110</f>
        <v>4266.8771040000001</v>
      </c>
    </row>
    <row r="111" spans="1:26" s="10" customFormat="1" x14ac:dyDescent="0.25">
      <c r="A111" s="33">
        <v>53</v>
      </c>
      <c r="B111" s="48">
        <v>1585781569</v>
      </c>
      <c r="C111" s="16" t="s">
        <v>211</v>
      </c>
      <c r="D111" s="161" t="s">
        <v>163</v>
      </c>
      <c r="E111" s="203" t="s">
        <v>112</v>
      </c>
      <c r="F111" s="67">
        <v>16</v>
      </c>
      <c r="G111" s="99">
        <v>250.29</v>
      </c>
      <c r="H111" s="68">
        <f t="shared" si="44"/>
        <v>4004.64</v>
      </c>
      <c r="I111" s="68">
        <v>400</v>
      </c>
      <c r="J111" s="33"/>
      <c r="K111" s="68">
        <f>VLOOKUP($H$28,Tabisr,1)</f>
        <v>3651.01</v>
      </c>
      <c r="L111" s="70">
        <f>+H111-K111</f>
        <v>353.62999999999965</v>
      </c>
      <c r="M111" s="71">
        <f>VLOOKUP($H$28,Tabisr,4)</f>
        <v>0.16</v>
      </c>
      <c r="N111" s="68">
        <f>(H111-3651.01)*16%</f>
        <v>56.580799999999947</v>
      </c>
      <c r="O111" s="68">
        <v>293.25</v>
      </c>
      <c r="P111" s="68">
        <f>O111+N111</f>
        <v>349.83079999999995</v>
      </c>
      <c r="Q111" s="68"/>
      <c r="R111" s="76"/>
      <c r="S111" s="76">
        <v>1052</v>
      </c>
      <c r="T111" s="68"/>
      <c r="U111" s="68"/>
      <c r="V111" s="72">
        <f t="shared" si="45"/>
        <v>3002.8091999999997</v>
      </c>
      <c r="W111" s="72">
        <f t="shared" si="46"/>
        <v>2602.8091999999997</v>
      </c>
      <c r="Y111" s="14">
        <f t="shared" si="47"/>
        <v>3002.8091999999997</v>
      </c>
      <c r="Z111" s="14">
        <f t="shared" si="48"/>
        <v>2602.8091999999997</v>
      </c>
    </row>
    <row r="112" spans="1:26" s="12" customFormat="1" x14ac:dyDescent="0.25">
      <c r="A112" s="32">
        <v>54</v>
      </c>
      <c r="B112" s="48">
        <v>1585781577</v>
      </c>
      <c r="C112" s="16" t="s">
        <v>235</v>
      </c>
      <c r="D112" s="16" t="s">
        <v>186</v>
      </c>
      <c r="E112" s="21" t="s">
        <v>78</v>
      </c>
      <c r="F112" s="67">
        <v>16</v>
      </c>
      <c r="G112" s="91">
        <v>250.29</v>
      </c>
      <c r="H112" s="76">
        <f t="shared" si="44"/>
        <v>4004.64</v>
      </c>
      <c r="I112" s="76">
        <v>400</v>
      </c>
      <c r="J112" s="76"/>
      <c r="K112" s="76">
        <f>VLOOKUP($H$28,Tabisr,1)</f>
        <v>3651.01</v>
      </c>
      <c r="L112" s="72">
        <f>+H112-K112</f>
        <v>353.62999999999965</v>
      </c>
      <c r="M112" s="77">
        <f>VLOOKUP($H$28,Tabisr,4)</f>
        <v>0.16</v>
      </c>
      <c r="N112" s="76">
        <f>(H112-3651.01)*16%</f>
        <v>56.580799999999947</v>
      </c>
      <c r="O112" s="76">
        <v>293.25</v>
      </c>
      <c r="P112" s="76">
        <f>O112+N112</f>
        <v>349.83079999999995</v>
      </c>
      <c r="Q112" s="76"/>
      <c r="R112" s="76">
        <v>1050</v>
      </c>
      <c r="S112" s="76"/>
      <c r="T112" s="76"/>
      <c r="U112" s="76"/>
      <c r="V112" s="72">
        <f t="shared" si="45"/>
        <v>3004.8091999999997</v>
      </c>
      <c r="W112" s="72">
        <f t="shared" si="46"/>
        <v>2604.8091999999997</v>
      </c>
      <c r="Y112" s="25">
        <f t="shared" si="47"/>
        <v>3004.8091999999997</v>
      </c>
      <c r="Z112" s="25">
        <f t="shared" si="48"/>
        <v>2604.8091999999997</v>
      </c>
    </row>
    <row r="113" spans="1:26" s="10" customFormat="1" x14ac:dyDescent="0.25">
      <c r="A113" s="33">
        <v>55</v>
      </c>
      <c r="B113" s="48">
        <v>1585781585</v>
      </c>
      <c r="C113" s="16" t="s">
        <v>22</v>
      </c>
      <c r="D113" s="162" t="s">
        <v>186</v>
      </c>
      <c r="E113" s="203" t="s">
        <v>87</v>
      </c>
      <c r="F113" s="67">
        <v>16</v>
      </c>
      <c r="G113" s="99">
        <v>250.29</v>
      </c>
      <c r="H113" s="68">
        <f t="shared" si="44"/>
        <v>4004.64</v>
      </c>
      <c r="I113" s="68">
        <v>400</v>
      </c>
      <c r="J113" s="68"/>
      <c r="K113" s="68">
        <f>VLOOKUP($H$28,Tabisr,1)</f>
        <v>3651.01</v>
      </c>
      <c r="L113" s="70">
        <f>+H113-K113</f>
        <v>353.62999999999965</v>
      </c>
      <c r="M113" s="71">
        <f>VLOOKUP($H$28,Tabisr,4)</f>
        <v>0.16</v>
      </c>
      <c r="N113" s="68">
        <f>(H113-3651.01)*16%</f>
        <v>56.580799999999947</v>
      </c>
      <c r="O113" s="68">
        <v>293.25</v>
      </c>
      <c r="P113" s="68">
        <f>O113+N113</f>
        <v>349.83079999999995</v>
      </c>
      <c r="Q113" s="68"/>
      <c r="R113" s="68"/>
      <c r="S113" s="68"/>
      <c r="T113" s="68"/>
      <c r="U113" s="68"/>
      <c r="V113" s="72">
        <f t="shared" si="45"/>
        <v>4054.8091999999997</v>
      </c>
      <c r="W113" s="72">
        <f t="shared" si="46"/>
        <v>3654.8091999999997</v>
      </c>
      <c r="Y113" s="14">
        <f t="shared" si="47"/>
        <v>4054.8091999999997</v>
      </c>
      <c r="Z113" s="14">
        <f t="shared" si="48"/>
        <v>3654.8091999999997</v>
      </c>
    </row>
    <row r="114" spans="1:26" s="10" customFormat="1" x14ac:dyDescent="0.25">
      <c r="A114" s="32">
        <v>56</v>
      </c>
      <c r="B114" s="48">
        <v>1585781593</v>
      </c>
      <c r="C114" s="16" t="s">
        <v>16</v>
      </c>
      <c r="D114" s="162" t="s">
        <v>186</v>
      </c>
      <c r="E114" s="162" t="s">
        <v>150</v>
      </c>
      <c r="F114" s="67">
        <v>16</v>
      </c>
      <c r="G114" s="100">
        <v>250.29</v>
      </c>
      <c r="H114" s="68">
        <f t="shared" si="44"/>
        <v>4004.64</v>
      </c>
      <c r="I114" s="68">
        <v>400</v>
      </c>
      <c r="J114" s="68"/>
      <c r="K114" s="68">
        <f>VLOOKUP($H$292,Tabisr,1)</f>
        <v>3651.01</v>
      </c>
      <c r="L114" s="70">
        <f>+H114-K114</f>
        <v>353.62999999999965</v>
      </c>
      <c r="M114" s="71">
        <f>VLOOKUP($H$292,Tabisr,4)</f>
        <v>0.16</v>
      </c>
      <c r="N114" s="68">
        <f>(H114-3651.01)*16%</f>
        <v>56.580799999999947</v>
      </c>
      <c r="O114" s="68">
        <v>293.25</v>
      </c>
      <c r="P114" s="68">
        <f>O114+N114</f>
        <v>349.83079999999995</v>
      </c>
      <c r="Q114" s="68"/>
      <c r="R114" s="69">
        <v>450</v>
      </c>
      <c r="S114" s="69"/>
      <c r="T114" s="69"/>
      <c r="U114" s="69"/>
      <c r="V114" s="72">
        <f t="shared" si="45"/>
        <v>3604.8091999999997</v>
      </c>
      <c r="W114" s="72">
        <f t="shared" si="46"/>
        <v>3204.8091999999997</v>
      </c>
      <c r="Y114" s="14">
        <f t="shared" si="47"/>
        <v>3604.8091999999997</v>
      </c>
      <c r="Z114" s="14">
        <f t="shared" si="48"/>
        <v>3204.8091999999997</v>
      </c>
    </row>
    <row r="115" spans="1:26" s="10" customFormat="1" x14ac:dyDescent="0.25">
      <c r="A115" s="33">
        <v>57</v>
      </c>
      <c r="B115" s="48">
        <v>1585781607</v>
      </c>
      <c r="C115" s="16" t="s">
        <v>13</v>
      </c>
      <c r="D115" s="161" t="s">
        <v>170</v>
      </c>
      <c r="E115" s="203" t="s">
        <v>88</v>
      </c>
      <c r="F115" s="67">
        <v>16</v>
      </c>
      <c r="G115" s="99">
        <v>209.19</v>
      </c>
      <c r="H115" s="68">
        <f t="shared" si="44"/>
        <v>3347.04</v>
      </c>
      <c r="I115" s="68">
        <v>400</v>
      </c>
      <c r="J115" s="33"/>
      <c r="K115" s="68">
        <v>2077.5100000000002</v>
      </c>
      <c r="L115" s="70">
        <v>121.95</v>
      </c>
      <c r="M115" s="71">
        <v>0.10879999999999999</v>
      </c>
      <c r="N115" s="68">
        <f>(H115-2077.51)*10.88%</f>
        <v>138.12486399999997</v>
      </c>
      <c r="O115" s="76">
        <v>121.95</v>
      </c>
      <c r="P115" s="68">
        <f>N115+O115</f>
        <v>260.07486399999999</v>
      </c>
      <c r="Q115" s="68">
        <v>125.1</v>
      </c>
      <c r="R115" s="68"/>
      <c r="S115" s="68"/>
      <c r="T115" s="68"/>
      <c r="U115" s="68"/>
      <c r="V115" s="72">
        <f t="shared" si="45"/>
        <v>3612.0651359999997</v>
      </c>
      <c r="W115" s="72">
        <f t="shared" si="46"/>
        <v>3212.0651359999997</v>
      </c>
      <c r="Y115" s="14">
        <f t="shared" si="47"/>
        <v>3612.0651359999997</v>
      </c>
      <c r="Z115" s="14">
        <f t="shared" si="48"/>
        <v>3212.0651359999997</v>
      </c>
    </row>
    <row r="116" spans="1:26" s="10" customFormat="1" x14ac:dyDescent="0.25">
      <c r="A116" s="34"/>
      <c r="B116" s="53"/>
      <c r="C116" s="169"/>
      <c r="D116" s="170"/>
      <c r="E116" s="234"/>
      <c r="F116" s="88"/>
      <c r="G116" s="88"/>
      <c r="H116" s="89">
        <f>+SUM(H110:H115)</f>
        <v>24110.240000000002</v>
      </c>
      <c r="I116" s="89">
        <f>+SUM(I110:I115)</f>
        <v>2400</v>
      </c>
      <c r="J116" s="89">
        <f t="shared" ref="J116:O116" si="49">+SUM(J110:J115)</f>
        <v>0</v>
      </c>
      <c r="K116" s="89">
        <f t="shared" si="49"/>
        <v>21762.560000000005</v>
      </c>
      <c r="L116" s="89">
        <f t="shared" si="49"/>
        <v>1200.0999999999988</v>
      </c>
      <c r="M116" s="89">
        <f t="shared" si="49"/>
        <v>0.96240000000000014</v>
      </c>
      <c r="N116" s="89">
        <f t="shared" si="49"/>
        <v>454.16095999999982</v>
      </c>
      <c r="O116" s="89">
        <f t="shared" si="49"/>
        <v>1683</v>
      </c>
      <c r="P116" s="89">
        <f t="shared" ref="P116:W116" si="50">+SUM(P110:P115)</f>
        <v>2137.1609600000002</v>
      </c>
      <c r="Q116" s="89">
        <f t="shared" si="50"/>
        <v>125.1</v>
      </c>
      <c r="R116" s="89">
        <f t="shared" si="50"/>
        <v>1500</v>
      </c>
      <c r="S116" s="89">
        <f t="shared" si="50"/>
        <v>1052</v>
      </c>
      <c r="T116" s="89">
        <f t="shared" si="50"/>
        <v>0</v>
      </c>
      <c r="U116" s="89">
        <f t="shared" si="50"/>
        <v>0</v>
      </c>
      <c r="V116" s="89">
        <f t="shared" si="50"/>
        <v>21946.179039999999</v>
      </c>
      <c r="W116" s="89">
        <f t="shared" si="50"/>
        <v>19546.179039999999</v>
      </c>
      <c r="Y116" s="15">
        <f>+SUM(Y110:Y115)</f>
        <v>21946.179039999999</v>
      </c>
      <c r="Z116" s="15">
        <f>+SUM(Z110:Z115)</f>
        <v>19546.179039999999</v>
      </c>
    </row>
    <row r="117" spans="1:26" s="10" customFormat="1" x14ac:dyDescent="0.25">
      <c r="A117" s="34"/>
      <c r="B117" s="53"/>
      <c r="C117" s="169"/>
      <c r="D117" s="170"/>
      <c r="E117" s="234"/>
      <c r="F117" s="88"/>
      <c r="G117" s="88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Y117" s="15"/>
      <c r="Z117" s="15"/>
    </row>
    <row r="118" spans="1:26" s="10" customFormat="1" x14ac:dyDescent="0.25">
      <c r="A118" s="34"/>
      <c r="B118" s="53"/>
      <c r="C118" s="169"/>
      <c r="D118" s="170"/>
      <c r="E118" s="234"/>
      <c r="F118" s="88"/>
      <c r="G118" s="88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Y118" s="15"/>
      <c r="Z118" s="15"/>
    </row>
    <row r="119" spans="1:26" s="10" customFormat="1" x14ac:dyDescent="0.25">
      <c r="A119" s="34"/>
      <c r="B119" s="53"/>
      <c r="C119" s="169"/>
      <c r="D119" s="170"/>
      <c r="E119" s="234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Y119" s="14"/>
      <c r="Z119" s="14"/>
    </row>
    <row r="120" spans="1:26" s="10" customFormat="1" ht="18.75" x14ac:dyDescent="0.25">
      <c r="A120" s="277" t="s">
        <v>392</v>
      </c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9"/>
      <c r="Y120" s="14"/>
      <c r="Z120" s="14"/>
    </row>
    <row r="121" spans="1:26" s="10" customFormat="1" ht="32.25" customHeight="1" x14ac:dyDescent="0.25">
      <c r="A121" s="31" t="s">
        <v>69</v>
      </c>
      <c r="B121" s="52" t="s">
        <v>588</v>
      </c>
      <c r="C121" s="31" t="s">
        <v>17</v>
      </c>
      <c r="D121" s="31" t="s">
        <v>161</v>
      </c>
      <c r="E121" s="31" t="s">
        <v>143</v>
      </c>
      <c r="F121" s="31" t="s">
        <v>27</v>
      </c>
      <c r="G121" s="31" t="s">
        <v>19</v>
      </c>
      <c r="H121" s="31" t="s">
        <v>18</v>
      </c>
      <c r="I121" s="31" t="s">
        <v>66</v>
      </c>
      <c r="J121" s="31" t="s">
        <v>74</v>
      </c>
      <c r="K121" s="50" t="s">
        <v>301</v>
      </c>
      <c r="L121" s="50" t="s">
        <v>302</v>
      </c>
      <c r="M121" s="50" t="s">
        <v>303</v>
      </c>
      <c r="N121" s="50" t="s">
        <v>304</v>
      </c>
      <c r="O121" s="31" t="s">
        <v>305</v>
      </c>
      <c r="P121" s="31" t="s">
        <v>67</v>
      </c>
      <c r="Q121" s="31" t="s">
        <v>68</v>
      </c>
      <c r="R121" s="31" t="s">
        <v>20</v>
      </c>
      <c r="S121" s="31" t="s">
        <v>452</v>
      </c>
      <c r="T121" s="31" t="s">
        <v>72</v>
      </c>
      <c r="U121" s="31" t="s">
        <v>157</v>
      </c>
      <c r="V121" s="31" t="s">
        <v>155</v>
      </c>
      <c r="W121" s="31" t="s">
        <v>156</v>
      </c>
      <c r="Y121" s="14"/>
      <c r="Z121" s="14"/>
    </row>
    <row r="122" spans="1:26" s="10" customFormat="1" ht="23.25" customHeight="1" x14ac:dyDescent="0.25">
      <c r="A122" s="32">
        <v>58</v>
      </c>
      <c r="B122" s="48">
        <v>1585781615</v>
      </c>
      <c r="C122" s="16" t="s">
        <v>23</v>
      </c>
      <c r="D122" s="16" t="s">
        <v>421</v>
      </c>
      <c r="E122" s="21" t="s">
        <v>89</v>
      </c>
      <c r="F122" s="67">
        <v>16</v>
      </c>
      <c r="G122" s="76">
        <v>594.66999999999996</v>
      </c>
      <c r="H122" s="76">
        <f t="shared" ref="H122:H128" si="51">F122*G122</f>
        <v>9514.7199999999993</v>
      </c>
      <c r="I122" s="64"/>
      <c r="J122" s="64"/>
      <c r="K122" s="76">
        <v>5081</v>
      </c>
      <c r="L122" s="72">
        <f t="shared" ref="L122:L128" si="52">+H122-K122</f>
        <v>4433.7199999999993</v>
      </c>
      <c r="M122" s="77">
        <v>0.21360000000000001</v>
      </c>
      <c r="N122" s="76">
        <f>(H122-5081.01)*21.36%</f>
        <v>947.04045599999972</v>
      </c>
      <c r="O122" s="76">
        <v>538.20000000000005</v>
      </c>
      <c r="P122" s="76">
        <f>N122+O122</f>
        <v>1485.2404559999998</v>
      </c>
      <c r="Q122" s="76"/>
      <c r="R122" s="64"/>
      <c r="S122" s="64"/>
      <c r="T122" s="64"/>
      <c r="U122" s="64"/>
      <c r="V122" s="72">
        <f t="shared" ref="V122:V128" si="53">H122+I122+J122-P122+Q122-R122-S122-T122-U122</f>
        <v>8029.4795439999998</v>
      </c>
      <c r="W122" s="72">
        <f t="shared" ref="W122:W128" si="54">V122-I122</f>
        <v>8029.4795439999998</v>
      </c>
      <c r="Y122" s="14">
        <f t="shared" ref="Y122:Y128" si="55">+H122+I122+J122+Q122-P122-R122-S122-T122-U122</f>
        <v>8029.4795439999998</v>
      </c>
      <c r="Z122" s="14">
        <f t="shared" ref="Z122:Z128" si="56">+V122-I122</f>
        <v>8029.4795439999998</v>
      </c>
    </row>
    <row r="123" spans="1:26" s="12" customFormat="1" ht="22.5" x14ac:dyDescent="0.25">
      <c r="A123" s="37">
        <v>59</v>
      </c>
      <c r="B123" s="48">
        <v>1520306104</v>
      </c>
      <c r="C123" s="16" t="s">
        <v>477</v>
      </c>
      <c r="D123" s="16" t="s">
        <v>489</v>
      </c>
      <c r="E123" s="173" t="s">
        <v>478</v>
      </c>
      <c r="F123" s="67">
        <v>16</v>
      </c>
      <c r="G123" s="76">
        <v>393.95</v>
      </c>
      <c r="H123" s="76">
        <f t="shared" si="51"/>
        <v>6303.2</v>
      </c>
      <c r="I123" s="64">
        <v>400</v>
      </c>
      <c r="J123" s="64"/>
      <c r="K123" s="76">
        <f>VLOOKUP($H$206,Tabisr,1)</f>
        <v>5081.01</v>
      </c>
      <c r="L123" s="72">
        <f t="shared" si="52"/>
        <v>1222.1899999999996</v>
      </c>
      <c r="M123" s="77">
        <f>VLOOKUP($H$206,Tabisr,4)</f>
        <v>0.21360000000000001</v>
      </c>
      <c r="N123" s="76">
        <f>+L123*M123</f>
        <v>261.05978399999992</v>
      </c>
      <c r="O123" s="76">
        <f>VLOOKUP($H$206,Tabisr,3)</f>
        <v>538.20000000000005</v>
      </c>
      <c r="P123" s="76">
        <f>+N123+O123</f>
        <v>799.25978399999997</v>
      </c>
      <c r="Q123" s="76"/>
      <c r="R123" s="64"/>
      <c r="S123" s="64"/>
      <c r="T123" s="64"/>
      <c r="U123" s="64"/>
      <c r="V123" s="72">
        <f t="shared" si="53"/>
        <v>5903.940216</v>
      </c>
      <c r="W123" s="72">
        <f t="shared" si="54"/>
        <v>5503.940216</v>
      </c>
      <c r="Y123" s="14">
        <f t="shared" si="55"/>
        <v>5903.940216</v>
      </c>
      <c r="Z123" s="14">
        <f t="shared" si="56"/>
        <v>5503.940216</v>
      </c>
    </row>
    <row r="124" spans="1:26" s="10" customFormat="1" ht="20.25" customHeight="1" x14ac:dyDescent="0.25">
      <c r="A124" s="32">
        <v>60</v>
      </c>
      <c r="B124" s="48">
        <v>1585781623</v>
      </c>
      <c r="C124" s="16" t="s">
        <v>596</v>
      </c>
      <c r="D124" s="16" t="s">
        <v>576</v>
      </c>
      <c r="E124" s="173" t="s">
        <v>606</v>
      </c>
      <c r="F124" s="67">
        <v>16</v>
      </c>
      <c r="G124" s="101">
        <v>251.21</v>
      </c>
      <c r="H124" s="76">
        <f t="shared" si="51"/>
        <v>4019.36</v>
      </c>
      <c r="I124" s="64">
        <v>400</v>
      </c>
      <c r="J124" s="64"/>
      <c r="K124" s="76">
        <v>5083</v>
      </c>
      <c r="L124" s="72">
        <f t="shared" si="52"/>
        <v>-1063.6399999999999</v>
      </c>
      <c r="M124" s="77">
        <v>2.2136</v>
      </c>
      <c r="N124" s="76">
        <f>(H124-5081.01)*21.36%</f>
        <v>-226.76844</v>
      </c>
      <c r="O124" s="76">
        <v>540.20000000000005</v>
      </c>
      <c r="P124" s="76">
        <f>N124+O124</f>
        <v>313.43156000000005</v>
      </c>
      <c r="Q124" s="76"/>
      <c r="R124" s="64"/>
      <c r="S124" s="64"/>
      <c r="T124" s="64"/>
      <c r="U124" s="64"/>
      <c r="V124" s="72">
        <f t="shared" si="53"/>
        <v>4105.9284400000006</v>
      </c>
      <c r="W124" s="72">
        <f t="shared" si="54"/>
        <v>3705.9284400000006</v>
      </c>
      <c r="Y124" s="14">
        <f t="shared" si="55"/>
        <v>4105.9284400000006</v>
      </c>
      <c r="Z124" s="14">
        <f t="shared" si="56"/>
        <v>3705.9284400000006</v>
      </c>
    </row>
    <row r="125" spans="1:26" s="10" customFormat="1" ht="24" customHeight="1" x14ac:dyDescent="0.25">
      <c r="A125" s="37">
        <v>61</v>
      </c>
      <c r="B125" s="48">
        <v>1585781632</v>
      </c>
      <c r="C125" s="16" t="s">
        <v>597</v>
      </c>
      <c r="D125" s="16" t="s">
        <v>598</v>
      </c>
      <c r="E125" s="173" t="s">
        <v>607</v>
      </c>
      <c r="F125" s="67">
        <v>16</v>
      </c>
      <c r="G125" s="101">
        <v>251.21</v>
      </c>
      <c r="H125" s="76">
        <f t="shared" si="51"/>
        <v>4019.36</v>
      </c>
      <c r="I125" s="64">
        <v>400</v>
      </c>
      <c r="J125" s="64"/>
      <c r="K125" s="76">
        <v>5083</v>
      </c>
      <c r="L125" s="72">
        <f t="shared" si="52"/>
        <v>-1063.6399999999999</v>
      </c>
      <c r="M125" s="77">
        <v>2.2136</v>
      </c>
      <c r="N125" s="76">
        <f>(H125-5081.01)*21.36%</f>
        <v>-226.76844</v>
      </c>
      <c r="O125" s="76">
        <v>540.20000000000005</v>
      </c>
      <c r="P125" s="76">
        <f>N125+O125</f>
        <v>313.43156000000005</v>
      </c>
      <c r="Q125" s="76"/>
      <c r="R125" s="64"/>
      <c r="S125" s="64">
        <v>800</v>
      </c>
      <c r="T125" s="64"/>
      <c r="U125" s="64"/>
      <c r="V125" s="72">
        <f t="shared" si="53"/>
        <v>3305.9284400000006</v>
      </c>
      <c r="W125" s="72">
        <f t="shared" si="54"/>
        <v>2905.9284400000006</v>
      </c>
      <c r="Y125" s="14">
        <f t="shared" si="55"/>
        <v>3305.9284400000006</v>
      </c>
      <c r="Z125" s="14">
        <f t="shared" si="56"/>
        <v>2905.9284400000006</v>
      </c>
    </row>
    <row r="126" spans="1:26" s="10" customFormat="1" x14ac:dyDescent="0.25">
      <c r="A126" s="32">
        <v>62</v>
      </c>
      <c r="B126" s="48">
        <v>1585781640</v>
      </c>
      <c r="C126" s="16" t="s">
        <v>479</v>
      </c>
      <c r="D126" s="161" t="s">
        <v>480</v>
      </c>
      <c r="E126" s="174" t="s">
        <v>481</v>
      </c>
      <c r="F126" s="67">
        <v>16</v>
      </c>
      <c r="G126" s="101">
        <v>251.21</v>
      </c>
      <c r="H126" s="76">
        <f t="shared" si="51"/>
        <v>4019.36</v>
      </c>
      <c r="I126" s="64">
        <v>400</v>
      </c>
      <c r="J126" s="64"/>
      <c r="K126" s="76">
        <v>5083</v>
      </c>
      <c r="L126" s="72">
        <f t="shared" si="52"/>
        <v>-1063.6399999999999</v>
      </c>
      <c r="M126" s="77">
        <v>2.2136</v>
      </c>
      <c r="N126" s="76">
        <f>(H126-5081.01)*21.36%</f>
        <v>-226.76844</v>
      </c>
      <c r="O126" s="76">
        <v>540.20000000000005</v>
      </c>
      <c r="P126" s="76">
        <f>N126+O126</f>
        <v>313.43156000000005</v>
      </c>
      <c r="Q126" s="76"/>
      <c r="R126" s="64"/>
      <c r="S126" s="64"/>
      <c r="T126" s="64"/>
      <c r="U126" s="64"/>
      <c r="V126" s="72">
        <f t="shared" si="53"/>
        <v>4105.9284400000006</v>
      </c>
      <c r="W126" s="72">
        <f t="shared" si="54"/>
        <v>3705.9284400000006</v>
      </c>
      <c r="Y126" s="14">
        <f t="shared" si="55"/>
        <v>4105.9284400000006</v>
      </c>
      <c r="Z126" s="14">
        <f t="shared" si="56"/>
        <v>3705.9284400000006</v>
      </c>
    </row>
    <row r="127" spans="1:26" s="10" customFormat="1" x14ac:dyDescent="0.25">
      <c r="A127" s="37">
        <v>63</v>
      </c>
      <c r="B127" s="48">
        <v>1585781658</v>
      </c>
      <c r="C127" s="16" t="s">
        <v>484</v>
      </c>
      <c r="D127" s="161" t="s">
        <v>480</v>
      </c>
      <c r="E127" s="174" t="s">
        <v>486</v>
      </c>
      <c r="F127" s="67">
        <v>16</v>
      </c>
      <c r="G127" s="76">
        <v>251.21</v>
      </c>
      <c r="H127" s="76">
        <f t="shared" si="51"/>
        <v>4019.36</v>
      </c>
      <c r="I127" s="64">
        <v>400</v>
      </c>
      <c r="J127" s="64"/>
      <c r="K127" s="76">
        <v>5084</v>
      </c>
      <c r="L127" s="72">
        <f t="shared" si="52"/>
        <v>-1064.6399999999999</v>
      </c>
      <c r="M127" s="77">
        <v>3.2136</v>
      </c>
      <c r="N127" s="76">
        <f>(H127-5081.01)*21.36%</f>
        <v>-226.76844</v>
      </c>
      <c r="O127" s="76">
        <v>541.20000000000005</v>
      </c>
      <c r="P127" s="76">
        <f>N127+O127</f>
        <v>314.43156000000005</v>
      </c>
      <c r="Q127" s="76"/>
      <c r="R127" s="64"/>
      <c r="S127" s="64"/>
      <c r="T127" s="64"/>
      <c r="U127" s="64"/>
      <c r="V127" s="72">
        <f t="shared" si="53"/>
        <v>4104.9284400000006</v>
      </c>
      <c r="W127" s="72">
        <f t="shared" si="54"/>
        <v>3704.9284400000006</v>
      </c>
      <c r="Y127" s="14">
        <f t="shared" si="55"/>
        <v>4104.9284400000006</v>
      </c>
      <c r="Z127" s="14">
        <f t="shared" si="56"/>
        <v>3704.9284400000006</v>
      </c>
    </row>
    <row r="128" spans="1:26" s="10" customFormat="1" ht="21" customHeight="1" x14ac:dyDescent="0.25">
      <c r="A128" s="32">
        <v>64</v>
      </c>
      <c r="B128" s="48">
        <v>1585781674</v>
      </c>
      <c r="C128" s="16" t="s">
        <v>63</v>
      </c>
      <c r="D128" s="16" t="s">
        <v>576</v>
      </c>
      <c r="E128" s="173" t="s">
        <v>83</v>
      </c>
      <c r="F128" s="67">
        <v>16</v>
      </c>
      <c r="G128" s="76">
        <v>251.21</v>
      </c>
      <c r="H128" s="76">
        <f t="shared" si="51"/>
        <v>4019.36</v>
      </c>
      <c r="I128" s="64">
        <v>400</v>
      </c>
      <c r="J128" s="64"/>
      <c r="K128" s="76">
        <v>5086</v>
      </c>
      <c r="L128" s="72">
        <f t="shared" si="52"/>
        <v>-1066.6399999999999</v>
      </c>
      <c r="M128" s="77">
        <v>5.2135999999999996</v>
      </c>
      <c r="N128" s="76">
        <f>(H128-5081.01)*21.36%</f>
        <v>-226.76844</v>
      </c>
      <c r="O128" s="76">
        <v>543.20000000000005</v>
      </c>
      <c r="P128" s="76">
        <f>N128+O128</f>
        <v>316.43156000000005</v>
      </c>
      <c r="Q128" s="76"/>
      <c r="R128" s="64"/>
      <c r="S128" s="64"/>
      <c r="T128" s="64"/>
      <c r="U128" s="64"/>
      <c r="V128" s="72">
        <f t="shared" si="53"/>
        <v>4102.9284400000006</v>
      </c>
      <c r="W128" s="72">
        <f t="shared" si="54"/>
        <v>3702.9284400000006</v>
      </c>
      <c r="Y128" s="14">
        <f t="shared" si="55"/>
        <v>4102.9284400000006</v>
      </c>
      <c r="Z128" s="14">
        <f t="shared" si="56"/>
        <v>3702.9284400000006</v>
      </c>
    </row>
    <row r="129" spans="1:26" s="10" customFormat="1" x14ac:dyDescent="0.25">
      <c r="A129" s="34"/>
      <c r="B129" s="53"/>
      <c r="C129" s="169"/>
      <c r="D129" s="170"/>
      <c r="E129" s="234"/>
      <c r="F129" s="88"/>
      <c r="G129" s="88"/>
      <c r="H129" s="93">
        <f>SUM(H122:H128)</f>
        <v>35914.720000000001</v>
      </c>
      <c r="I129" s="93">
        <f>SUM(I122:I128)</f>
        <v>2400</v>
      </c>
      <c r="J129" s="93">
        <f t="shared" ref="J129:W129" si="57">SUM(J122:J128)</f>
        <v>0</v>
      </c>
      <c r="K129" s="93">
        <f t="shared" si="57"/>
        <v>35581.01</v>
      </c>
      <c r="L129" s="93">
        <f t="shared" si="57"/>
        <v>333.70999999999913</v>
      </c>
      <c r="M129" s="93">
        <f t="shared" si="57"/>
        <v>15.495199999999999</v>
      </c>
      <c r="N129" s="93">
        <f t="shared" si="57"/>
        <v>74.258039999999596</v>
      </c>
      <c r="O129" s="93">
        <f t="shared" si="57"/>
        <v>3781.3999999999996</v>
      </c>
      <c r="P129" s="93">
        <f t="shared" si="57"/>
        <v>3855.6580399999998</v>
      </c>
      <c r="Q129" s="93">
        <f t="shared" si="57"/>
        <v>0</v>
      </c>
      <c r="R129" s="93">
        <f t="shared" si="57"/>
        <v>0</v>
      </c>
      <c r="S129" s="93">
        <f t="shared" si="57"/>
        <v>800</v>
      </c>
      <c r="T129" s="93">
        <f t="shared" si="57"/>
        <v>0</v>
      </c>
      <c r="U129" s="93">
        <f t="shared" si="57"/>
        <v>0</v>
      </c>
      <c r="V129" s="93">
        <f t="shared" si="57"/>
        <v>33659.061959999999</v>
      </c>
      <c r="W129" s="93">
        <f t="shared" si="57"/>
        <v>31259.061959999999</v>
      </c>
      <c r="Y129" s="15">
        <f>SUM(Y122:Y128)</f>
        <v>33659.061959999999</v>
      </c>
      <c r="Z129" s="15">
        <f>SUM(Z122:Z128)</f>
        <v>31259.061959999999</v>
      </c>
    </row>
    <row r="130" spans="1:26" s="10" customFormat="1" x14ac:dyDescent="0.25">
      <c r="A130" s="34"/>
      <c r="B130" s="53"/>
      <c r="C130" s="169"/>
      <c r="D130" s="170"/>
      <c r="E130" s="234"/>
      <c r="F130" s="88"/>
      <c r="G130" s="88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Y130" s="15"/>
      <c r="Z130" s="15"/>
    </row>
    <row r="131" spans="1:26" s="10" customFormat="1" x14ac:dyDescent="0.25">
      <c r="A131" s="34"/>
      <c r="B131" s="53"/>
      <c r="C131" s="169"/>
      <c r="D131" s="170"/>
      <c r="E131" s="234"/>
      <c r="F131" s="88"/>
      <c r="G131" s="88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Y131" s="15"/>
      <c r="Z131" s="15"/>
    </row>
    <row r="132" spans="1:26" s="10" customFormat="1" x14ac:dyDescent="0.25">
      <c r="A132" s="34"/>
      <c r="B132" s="53"/>
      <c r="C132" s="169"/>
      <c r="D132" s="170"/>
      <c r="E132" s="234"/>
      <c r="F132" s="88"/>
      <c r="G132" s="88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Y132" s="14"/>
      <c r="Z132" s="14"/>
    </row>
    <row r="133" spans="1:26" s="10" customFormat="1" ht="18.75" x14ac:dyDescent="0.25">
      <c r="A133" s="277" t="s">
        <v>393</v>
      </c>
      <c r="B133" s="278"/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9"/>
      <c r="Y133" s="14"/>
      <c r="Z133" s="14"/>
    </row>
    <row r="134" spans="1:26" s="10" customFormat="1" ht="35.25" customHeight="1" x14ac:dyDescent="0.25">
      <c r="A134" s="31" t="s">
        <v>69</v>
      </c>
      <c r="B134" s="52" t="s">
        <v>588</v>
      </c>
      <c r="C134" s="31" t="s">
        <v>17</v>
      </c>
      <c r="D134" s="31" t="s">
        <v>161</v>
      </c>
      <c r="E134" s="31" t="s">
        <v>143</v>
      </c>
      <c r="F134" s="31" t="s">
        <v>27</v>
      </c>
      <c r="G134" s="31" t="s">
        <v>19</v>
      </c>
      <c r="H134" s="31" t="s">
        <v>18</v>
      </c>
      <c r="I134" s="31" t="s">
        <v>66</v>
      </c>
      <c r="J134" s="31" t="s">
        <v>74</v>
      </c>
      <c r="K134" s="50" t="s">
        <v>301</v>
      </c>
      <c r="L134" s="50" t="s">
        <v>302</v>
      </c>
      <c r="M134" s="50" t="s">
        <v>303</v>
      </c>
      <c r="N134" s="50" t="s">
        <v>304</v>
      </c>
      <c r="O134" s="31" t="s">
        <v>305</v>
      </c>
      <c r="P134" s="31" t="s">
        <v>67</v>
      </c>
      <c r="Q134" s="31" t="s">
        <v>68</v>
      </c>
      <c r="R134" s="31" t="s">
        <v>20</v>
      </c>
      <c r="S134" s="31" t="s">
        <v>452</v>
      </c>
      <c r="T134" s="31" t="s">
        <v>72</v>
      </c>
      <c r="U134" s="31" t="s">
        <v>157</v>
      </c>
      <c r="V134" s="31" t="s">
        <v>155</v>
      </c>
      <c r="W134" s="31" t="s">
        <v>156</v>
      </c>
      <c r="Y134" s="14"/>
      <c r="Z134" s="14"/>
    </row>
    <row r="135" spans="1:26" s="10" customFormat="1" x14ac:dyDescent="0.25">
      <c r="A135" s="32">
        <v>65</v>
      </c>
      <c r="B135" s="48">
        <v>1585781691</v>
      </c>
      <c r="C135" s="16" t="s">
        <v>1</v>
      </c>
      <c r="D135" s="19" t="s">
        <v>309</v>
      </c>
      <c r="E135" s="21" t="s">
        <v>209</v>
      </c>
      <c r="F135" s="67">
        <v>16</v>
      </c>
      <c r="G135" s="76">
        <v>594.66999999999996</v>
      </c>
      <c r="H135" s="76">
        <f t="shared" ref="H135:H142" si="58">F135*G135</f>
        <v>9514.7199999999993</v>
      </c>
      <c r="I135" s="76"/>
      <c r="J135" s="32"/>
      <c r="K135" s="76">
        <f>VLOOKUP($H$135,Tabisr,1)</f>
        <v>5081.01</v>
      </c>
      <c r="L135" s="72">
        <f>+H135-K135</f>
        <v>4433.7099999999991</v>
      </c>
      <c r="M135" s="77">
        <f>VLOOKUP($H$135,Tabisr,4)</f>
        <v>0.21360000000000001</v>
      </c>
      <c r="N135" s="76">
        <f>(H135-5081.01)*21.36%</f>
        <v>947.04045599999972</v>
      </c>
      <c r="O135" s="76">
        <v>538.20000000000005</v>
      </c>
      <c r="P135" s="76">
        <f>N135+O135</f>
        <v>1485.2404559999998</v>
      </c>
      <c r="Q135" s="76">
        <f>VLOOKUP($H$135,Tabsub,3)</f>
        <v>0</v>
      </c>
      <c r="R135" s="76">
        <v>1300</v>
      </c>
      <c r="S135" s="76"/>
      <c r="T135" s="76"/>
      <c r="U135" s="76"/>
      <c r="V135" s="72">
        <f>H135+I135+J135-P135+Q135-R135-S135-T135-U135</f>
        <v>6729.4795439999998</v>
      </c>
      <c r="W135" s="72">
        <f>V135-I135</f>
        <v>6729.4795439999998</v>
      </c>
      <c r="Y135" s="14">
        <f t="shared" ref="Y135:Y145" si="59">+H135+I135+J135+Q135-P135-R135-S135-T135-U135</f>
        <v>6729.4795439999998</v>
      </c>
      <c r="Z135" s="14">
        <f t="shared" ref="Z135:Z145" si="60">+V135-I135</f>
        <v>6729.4795439999998</v>
      </c>
    </row>
    <row r="136" spans="1:26" s="255" customFormat="1" x14ac:dyDescent="0.25">
      <c r="A136" s="32">
        <v>66</v>
      </c>
      <c r="B136" s="48">
        <v>1585781704</v>
      </c>
      <c r="C136" s="16" t="s">
        <v>415</v>
      </c>
      <c r="D136" s="16" t="s">
        <v>169</v>
      </c>
      <c r="E136" s="21" t="s">
        <v>318</v>
      </c>
      <c r="F136" s="67">
        <v>16</v>
      </c>
      <c r="G136" s="91">
        <v>250.29</v>
      </c>
      <c r="H136" s="76">
        <f t="shared" si="58"/>
        <v>4004.64</v>
      </c>
      <c r="I136" s="76">
        <v>400</v>
      </c>
      <c r="J136" s="32"/>
      <c r="K136" s="76">
        <f t="shared" ref="K136:K142" si="61">VLOOKUP($H$28,Tabisr,1)</f>
        <v>3651.01</v>
      </c>
      <c r="L136" s="72">
        <f>+H136-K136</f>
        <v>353.62999999999965</v>
      </c>
      <c r="M136" s="77">
        <f t="shared" ref="M136:M142" si="62">VLOOKUP($H$28,Tabisr,4)</f>
        <v>0.16</v>
      </c>
      <c r="N136" s="76">
        <f>(H136-3651.01)*16%</f>
        <v>56.580799999999947</v>
      </c>
      <c r="O136" s="76">
        <v>293.25</v>
      </c>
      <c r="P136" s="76">
        <f>O136+N136</f>
        <v>349.83079999999995</v>
      </c>
      <c r="Q136" s="76"/>
      <c r="R136" s="76"/>
      <c r="S136" s="76"/>
      <c r="T136" s="76"/>
      <c r="U136" s="76"/>
      <c r="V136" s="72">
        <f>H136+I136+J136-P136+Q136-R136-S136-T136-U136</f>
        <v>4054.8091999999997</v>
      </c>
      <c r="W136" s="72">
        <f>V136-I136</f>
        <v>3654.8091999999997</v>
      </c>
      <c r="Y136" s="256">
        <f t="shared" si="59"/>
        <v>4054.8091999999997</v>
      </c>
      <c r="Z136" s="256">
        <f t="shared" si="60"/>
        <v>3654.8091999999997</v>
      </c>
    </row>
    <row r="137" spans="1:26" s="10" customFormat="1" x14ac:dyDescent="0.25">
      <c r="A137" s="32">
        <v>67</v>
      </c>
      <c r="B137" s="48">
        <v>2842635933</v>
      </c>
      <c r="C137" s="16" t="s">
        <v>459</v>
      </c>
      <c r="D137" s="162" t="s">
        <v>171</v>
      </c>
      <c r="E137" s="203" t="s">
        <v>460</v>
      </c>
      <c r="F137" s="67">
        <v>16</v>
      </c>
      <c r="G137" s="99">
        <v>250.29</v>
      </c>
      <c r="H137" s="68">
        <f t="shared" si="58"/>
        <v>4004.64</v>
      </c>
      <c r="I137" s="68">
        <v>400</v>
      </c>
      <c r="J137" s="33"/>
      <c r="K137" s="68">
        <f t="shared" si="61"/>
        <v>3651.01</v>
      </c>
      <c r="L137" s="70">
        <f>+H137-K137</f>
        <v>353.62999999999965</v>
      </c>
      <c r="M137" s="71">
        <f t="shared" si="62"/>
        <v>0.16</v>
      </c>
      <c r="N137" s="68">
        <f>(H137-3651.01)*16%</f>
        <v>56.580799999999947</v>
      </c>
      <c r="O137" s="68">
        <v>293.25</v>
      </c>
      <c r="P137" s="68">
        <f>O137+N137</f>
        <v>349.83079999999995</v>
      </c>
      <c r="Q137" s="68">
        <f t="shared" ref="Q137:Q142" si="63">VLOOKUP($H$137,Tabsub,3)</f>
        <v>0</v>
      </c>
      <c r="R137" s="68"/>
      <c r="S137" s="68"/>
      <c r="T137" s="68"/>
      <c r="U137" s="68"/>
      <c r="V137" s="72">
        <f>H137+I137+J137-P137+Q137-R137-S137-T137-U137</f>
        <v>4054.8091999999997</v>
      </c>
      <c r="W137" s="70">
        <f>V137-I137</f>
        <v>3654.8091999999997</v>
      </c>
      <c r="Y137" s="14">
        <f t="shared" si="59"/>
        <v>4054.8091999999997</v>
      </c>
      <c r="Z137" s="14">
        <f t="shared" si="60"/>
        <v>3654.8091999999997</v>
      </c>
    </row>
    <row r="138" spans="1:26" s="10" customFormat="1" x14ac:dyDescent="0.25">
      <c r="A138" s="33">
        <v>68</v>
      </c>
      <c r="B138" s="48">
        <v>2893228576</v>
      </c>
      <c r="C138" s="16" t="s">
        <v>616</v>
      </c>
      <c r="D138" s="16" t="s">
        <v>577</v>
      </c>
      <c r="E138" s="21" t="s">
        <v>617</v>
      </c>
      <c r="F138" s="67">
        <v>16</v>
      </c>
      <c r="G138" s="79">
        <v>146.22999999999999</v>
      </c>
      <c r="H138" s="76">
        <f t="shared" si="58"/>
        <v>2339.6799999999998</v>
      </c>
      <c r="I138" s="76">
        <v>400</v>
      </c>
      <c r="J138" s="32"/>
      <c r="K138" s="76">
        <f t="shared" si="61"/>
        <v>3651.01</v>
      </c>
      <c r="L138" s="72">
        <f>+H138-K138</f>
        <v>-1311.3300000000004</v>
      </c>
      <c r="M138" s="77">
        <f t="shared" si="62"/>
        <v>0.16</v>
      </c>
      <c r="N138" s="76">
        <f>(H138-3651.01)*16%</f>
        <v>-209.81280000000007</v>
      </c>
      <c r="O138" s="76">
        <v>294.25</v>
      </c>
      <c r="P138" s="76">
        <f>O138+N138</f>
        <v>84.437199999999933</v>
      </c>
      <c r="Q138" s="76">
        <f t="shared" si="63"/>
        <v>0</v>
      </c>
      <c r="R138" s="76"/>
      <c r="S138" s="76"/>
      <c r="T138" s="76"/>
      <c r="U138" s="76"/>
      <c r="V138" s="72">
        <f>H138+I138+J138-P138+Q138-R138-S138-T138-U138</f>
        <v>2655.2428</v>
      </c>
      <c r="W138" s="72">
        <f>V138-I138</f>
        <v>2255.2428</v>
      </c>
      <c r="Y138" s="14">
        <f t="shared" si="59"/>
        <v>2655.2428</v>
      </c>
      <c r="Z138" s="14">
        <f t="shared" si="60"/>
        <v>2255.2428</v>
      </c>
    </row>
    <row r="139" spans="1:26" s="10" customFormat="1" x14ac:dyDescent="0.25">
      <c r="A139" s="38">
        <v>69</v>
      </c>
      <c r="B139" s="54"/>
      <c r="C139" s="165" t="s">
        <v>458</v>
      </c>
      <c r="D139" s="165" t="s">
        <v>578</v>
      </c>
      <c r="E139" s="204"/>
      <c r="F139" s="82">
        <v>16</v>
      </c>
      <c r="G139" s="102">
        <v>146.22999999999999</v>
      </c>
      <c r="H139" s="83">
        <f t="shared" si="58"/>
        <v>2339.6799999999998</v>
      </c>
      <c r="I139" s="83"/>
      <c r="J139" s="38"/>
      <c r="K139" s="83"/>
      <c r="L139" s="85"/>
      <c r="M139" s="86"/>
      <c r="N139" s="83"/>
      <c r="O139" s="83"/>
      <c r="P139" s="83"/>
      <c r="Q139" s="83"/>
      <c r="R139" s="83"/>
      <c r="S139" s="83"/>
      <c r="T139" s="83"/>
      <c r="U139" s="83"/>
      <c r="V139" s="85"/>
      <c r="W139" s="85"/>
      <c r="Y139" s="14"/>
      <c r="Z139" s="14">
        <f t="shared" si="60"/>
        <v>0</v>
      </c>
    </row>
    <row r="140" spans="1:26" s="10" customFormat="1" x14ac:dyDescent="0.25">
      <c r="A140" s="33">
        <v>70</v>
      </c>
      <c r="B140" s="48">
        <v>1588823530</v>
      </c>
      <c r="C140" s="16" t="s">
        <v>634</v>
      </c>
      <c r="D140" s="16" t="s">
        <v>579</v>
      </c>
      <c r="E140" s="21" t="s">
        <v>641</v>
      </c>
      <c r="F140" s="67">
        <v>16</v>
      </c>
      <c r="G140" s="79">
        <v>146.22999999999999</v>
      </c>
      <c r="H140" s="76">
        <f t="shared" si="58"/>
        <v>2339.6799999999998</v>
      </c>
      <c r="I140" s="76">
        <v>400</v>
      </c>
      <c r="J140" s="32"/>
      <c r="K140" s="76">
        <f t="shared" si="61"/>
        <v>3651.01</v>
      </c>
      <c r="L140" s="72">
        <f>+H140-K140</f>
        <v>-1311.3300000000004</v>
      </c>
      <c r="M140" s="77">
        <f t="shared" si="62"/>
        <v>0.16</v>
      </c>
      <c r="N140" s="76">
        <f>(H140-3651.01)*16%</f>
        <v>-209.81280000000007</v>
      </c>
      <c r="O140" s="76">
        <v>294.25</v>
      </c>
      <c r="P140" s="76">
        <f>O140+N140</f>
        <v>84.437199999999933</v>
      </c>
      <c r="Q140" s="76">
        <f t="shared" si="63"/>
        <v>0</v>
      </c>
      <c r="R140" s="76"/>
      <c r="S140" s="76"/>
      <c r="T140" s="76"/>
      <c r="U140" s="76"/>
      <c r="V140" s="72">
        <f>H140+I140+J140-P140+Q140-R140-S140-T140-U140</f>
        <v>2655.2428</v>
      </c>
      <c r="W140" s="72">
        <f>V140-I140</f>
        <v>2255.2428</v>
      </c>
      <c r="Y140" s="14">
        <f t="shared" si="59"/>
        <v>2655.2428</v>
      </c>
      <c r="Z140" s="14">
        <f t="shared" si="60"/>
        <v>2255.2428</v>
      </c>
    </row>
    <row r="141" spans="1:26" s="10" customFormat="1" x14ac:dyDescent="0.25">
      <c r="A141" s="32">
        <v>71</v>
      </c>
      <c r="B141" s="48">
        <v>1588683682</v>
      </c>
      <c r="C141" s="16" t="s">
        <v>635</v>
      </c>
      <c r="D141" s="16" t="s">
        <v>580</v>
      </c>
      <c r="E141" s="21" t="s">
        <v>640</v>
      </c>
      <c r="F141" s="67">
        <v>16</v>
      </c>
      <c r="G141" s="79">
        <v>146.22999999999999</v>
      </c>
      <c r="H141" s="76">
        <f t="shared" si="58"/>
        <v>2339.6799999999998</v>
      </c>
      <c r="I141" s="76">
        <v>400</v>
      </c>
      <c r="J141" s="32"/>
      <c r="K141" s="76">
        <f t="shared" si="61"/>
        <v>3651.01</v>
      </c>
      <c r="L141" s="72">
        <f>+H141-K141</f>
        <v>-1311.3300000000004</v>
      </c>
      <c r="M141" s="77">
        <f t="shared" si="62"/>
        <v>0.16</v>
      </c>
      <c r="N141" s="76">
        <f>(H141-3651.01)*16%</f>
        <v>-209.81280000000007</v>
      </c>
      <c r="O141" s="76">
        <v>294.25</v>
      </c>
      <c r="P141" s="76">
        <v>61.04</v>
      </c>
      <c r="Q141" s="76">
        <f t="shared" si="63"/>
        <v>0</v>
      </c>
      <c r="R141" s="76"/>
      <c r="S141" s="76"/>
      <c r="T141" s="76"/>
      <c r="U141" s="76"/>
      <c r="V141" s="72">
        <f>H141+I141+J141-P141+Q141-R141-S141-T141-U141</f>
        <v>2678.64</v>
      </c>
      <c r="W141" s="72">
        <f>V141-I141</f>
        <v>2278.64</v>
      </c>
      <c r="Y141" s="14">
        <f t="shared" si="59"/>
        <v>2678.64</v>
      </c>
      <c r="Z141" s="14">
        <f t="shared" si="60"/>
        <v>2278.64</v>
      </c>
    </row>
    <row r="142" spans="1:26" s="10" customFormat="1" ht="27" x14ac:dyDescent="0.25">
      <c r="A142" s="33">
        <v>72</v>
      </c>
      <c r="B142" s="48">
        <v>1256977170</v>
      </c>
      <c r="C142" s="16" t="s">
        <v>636</v>
      </c>
      <c r="D142" s="168" t="s">
        <v>581</v>
      </c>
      <c r="E142" s="21" t="s">
        <v>639</v>
      </c>
      <c r="F142" s="67">
        <v>16</v>
      </c>
      <c r="G142" s="79">
        <v>146.22999999999999</v>
      </c>
      <c r="H142" s="76">
        <f t="shared" si="58"/>
        <v>2339.6799999999998</v>
      </c>
      <c r="I142" s="76">
        <v>400</v>
      </c>
      <c r="J142" s="32"/>
      <c r="K142" s="76">
        <f t="shared" si="61"/>
        <v>3651.01</v>
      </c>
      <c r="L142" s="72">
        <f>+H142-K142</f>
        <v>-1311.3300000000004</v>
      </c>
      <c r="M142" s="77">
        <f t="shared" si="62"/>
        <v>0.16</v>
      </c>
      <c r="N142" s="76">
        <f>(H142-3651.01)*16%</f>
        <v>-209.81280000000007</v>
      </c>
      <c r="O142" s="76">
        <v>294.25</v>
      </c>
      <c r="P142" s="76">
        <v>61.04</v>
      </c>
      <c r="Q142" s="76">
        <f t="shared" si="63"/>
        <v>0</v>
      </c>
      <c r="R142" s="76"/>
      <c r="S142" s="76"/>
      <c r="T142" s="76"/>
      <c r="U142" s="76"/>
      <c r="V142" s="72">
        <f>H142+I142+J142-P142+Q142-R142-S142-T142-U142</f>
        <v>2678.64</v>
      </c>
      <c r="W142" s="72">
        <f>V142-I142</f>
        <v>2278.64</v>
      </c>
      <c r="Y142" s="14">
        <f t="shared" si="59"/>
        <v>2678.64</v>
      </c>
      <c r="Z142" s="14">
        <f t="shared" si="60"/>
        <v>2278.64</v>
      </c>
    </row>
    <row r="143" spans="1:26" s="10" customFormat="1" ht="22.5" x14ac:dyDescent="0.25">
      <c r="A143" s="38">
        <v>73</v>
      </c>
      <c r="B143" s="54"/>
      <c r="C143" s="165" t="s">
        <v>458</v>
      </c>
      <c r="D143" s="165" t="s">
        <v>582</v>
      </c>
      <c r="E143" s="204"/>
      <c r="F143" s="82"/>
      <c r="G143" s="102">
        <v>146.22999999999999</v>
      </c>
      <c r="H143" s="83"/>
      <c r="I143" s="83"/>
      <c r="J143" s="38"/>
      <c r="K143" s="83"/>
      <c r="L143" s="85"/>
      <c r="M143" s="86"/>
      <c r="N143" s="83"/>
      <c r="O143" s="83"/>
      <c r="P143" s="83"/>
      <c r="Q143" s="83"/>
      <c r="R143" s="83"/>
      <c r="S143" s="83"/>
      <c r="T143" s="83"/>
      <c r="U143" s="83"/>
      <c r="V143" s="85"/>
      <c r="W143" s="85"/>
      <c r="Y143" s="14">
        <f t="shared" si="59"/>
        <v>0</v>
      </c>
      <c r="Z143" s="14">
        <f t="shared" si="60"/>
        <v>0</v>
      </c>
    </row>
    <row r="144" spans="1:26" s="10" customFormat="1" ht="22.5" x14ac:dyDescent="0.25">
      <c r="A144" s="38">
        <v>74</v>
      </c>
      <c r="B144" s="54"/>
      <c r="C144" s="165" t="s">
        <v>458</v>
      </c>
      <c r="D144" s="165" t="s">
        <v>583</v>
      </c>
      <c r="E144" s="204"/>
      <c r="F144" s="82"/>
      <c r="G144" s="102">
        <v>146.22999999999999</v>
      </c>
      <c r="H144" s="83"/>
      <c r="I144" s="83"/>
      <c r="J144" s="38"/>
      <c r="K144" s="83"/>
      <c r="L144" s="85"/>
      <c r="M144" s="86"/>
      <c r="N144" s="83"/>
      <c r="O144" s="83"/>
      <c r="P144" s="83"/>
      <c r="Q144" s="83"/>
      <c r="R144" s="83"/>
      <c r="S144" s="83"/>
      <c r="T144" s="83"/>
      <c r="U144" s="83"/>
      <c r="V144" s="85"/>
      <c r="W144" s="85"/>
      <c r="Y144" s="14">
        <f t="shared" si="59"/>
        <v>0</v>
      </c>
      <c r="Z144" s="14">
        <f t="shared" si="60"/>
        <v>0</v>
      </c>
    </row>
    <row r="145" spans="1:26" s="10" customFormat="1" x14ac:dyDescent="0.25">
      <c r="A145" s="38">
        <v>75</v>
      </c>
      <c r="B145" s="54"/>
      <c r="C145" s="165" t="s">
        <v>458</v>
      </c>
      <c r="D145" s="165" t="s">
        <v>584</v>
      </c>
      <c r="E145" s="204"/>
      <c r="F145" s="82"/>
      <c r="G145" s="102">
        <v>146.22999999999999</v>
      </c>
      <c r="H145" s="83"/>
      <c r="I145" s="83"/>
      <c r="J145" s="38"/>
      <c r="K145" s="83"/>
      <c r="L145" s="85"/>
      <c r="M145" s="86"/>
      <c r="N145" s="83"/>
      <c r="O145" s="83"/>
      <c r="P145" s="83"/>
      <c r="Q145" s="83"/>
      <c r="R145" s="83"/>
      <c r="S145" s="83"/>
      <c r="T145" s="83"/>
      <c r="U145" s="83"/>
      <c r="V145" s="85"/>
      <c r="W145" s="85"/>
      <c r="Y145" s="14">
        <f t="shared" si="59"/>
        <v>0</v>
      </c>
      <c r="Z145" s="14">
        <f t="shared" si="60"/>
        <v>0</v>
      </c>
    </row>
    <row r="146" spans="1:26" s="10" customFormat="1" x14ac:dyDescent="0.25">
      <c r="A146" s="34"/>
      <c r="B146" s="53"/>
      <c r="C146" s="163"/>
      <c r="D146" s="27"/>
      <c r="E146" s="27"/>
      <c r="F146" s="73"/>
      <c r="G146" s="74"/>
      <c r="H146" s="80">
        <f>+SUM(H135:H145)</f>
        <v>29222.400000000001</v>
      </c>
      <c r="I146" s="80">
        <f>+SUM(I135:I145)</f>
        <v>2400</v>
      </c>
      <c r="J146" s="80">
        <f t="shared" ref="J146:W146" si="64">+SUM(J135:J145)</f>
        <v>0</v>
      </c>
      <c r="K146" s="80">
        <f t="shared" si="64"/>
        <v>26987.070000000007</v>
      </c>
      <c r="L146" s="80">
        <f t="shared" si="64"/>
        <v>-104.350000000004</v>
      </c>
      <c r="M146" s="80">
        <f t="shared" si="64"/>
        <v>1.1736</v>
      </c>
      <c r="N146" s="80">
        <f t="shared" si="64"/>
        <v>220.95085599999945</v>
      </c>
      <c r="O146" s="80">
        <f t="shared" si="64"/>
        <v>2301.6999999999998</v>
      </c>
      <c r="P146" s="80">
        <f t="shared" si="64"/>
        <v>2475.8564559999995</v>
      </c>
      <c r="Q146" s="80">
        <f t="shared" si="64"/>
        <v>0</v>
      </c>
      <c r="R146" s="80">
        <f t="shared" si="64"/>
        <v>1300</v>
      </c>
      <c r="S146" s="80">
        <f t="shared" si="64"/>
        <v>0</v>
      </c>
      <c r="T146" s="80">
        <f t="shared" si="64"/>
        <v>0</v>
      </c>
      <c r="U146" s="80">
        <f t="shared" si="64"/>
        <v>0</v>
      </c>
      <c r="V146" s="80">
        <f>+SUM(V135:V145)</f>
        <v>25506.863544</v>
      </c>
      <c r="W146" s="80">
        <f t="shared" si="64"/>
        <v>23106.863544</v>
      </c>
      <c r="Y146" s="15">
        <f>SUM(Y135:Y145)</f>
        <v>25506.863544</v>
      </c>
      <c r="Z146" s="15">
        <f>SUM(Z135:Z145)</f>
        <v>23106.863544</v>
      </c>
    </row>
    <row r="147" spans="1:26" s="10" customFormat="1" x14ac:dyDescent="0.25">
      <c r="A147" s="34"/>
      <c r="B147" s="53"/>
      <c r="C147" s="163"/>
      <c r="D147" s="27"/>
      <c r="E147" s="27"/>
      <c r="F147" s="73"/>
      <c r="G147" s="74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Y147" s="14"/>
      <c r="Z147" s="14"/>
    </row>
    <row r="148" spans="1:26" s="10" customFormat="1" ht="18.75" x14ac:dyDescent="0.25">
      <c r="A148" s="277" t="s">
        <v>394</v>
      </c>
      <c r="B148" s="278"/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9"/>
      <c r="Y148" s="14"/>
      <c r="Z148" s="14"/>
    </row>
    <row r="149" spans="1:26" s="10" customFormat="1" ht="34.5" customHeight="1" x14ac:dyDescent="0.25">
      <c r="A149" s="31" t="s">
        <v>69</v>
      </c>
      <c r="B149" s="52" t="s">
        <v>588</v>
      </c>
      <c r="C149" s="31" t="s">
        <v>17</v>
      </c>
      <c r="D149" s="31" t="s">
        <v>161</v>
      </c>
      <c r="E149" s="31" t="s">
        <v>143</v>
      </c>
      <c r="F149" s="31" t="s">
        <v>27</v>
      </c>
      <c r="G149" s="31" t="s">
        <v>19</v>
      </c>
      <c r="H149" s="31" t="s">
        <v>18</v>
      </c>
      <c r="I149" s="31" t="s">
        <v>66</v>
      </c>
      <c r="J149" s="31" t="s">
        <v>74</v>
      </c>
      <c r="K149" s="50" t="s">
        <v>301</v>
      </c>
      <c r="L149" s="50" t="s">
        <v>302</v>
      </c>
      <c r="M149" s="50" t="s">
        <v>303</v>
      </c>
      <c r="N149" s="50" t="s">
        <v>304</v>
      </c>
      <c r="O149" s="31" t="s">
        <v>305</v>
      </c>
      <c r="P149" s="31" t="s">
        <v>67</v>
      </c>
      <c r="Q149" s="31" t="s">
        <v>68</v>
      </c>
      <c r="R149" s="31" t="s">
        <v>20</v>
      </c>
      <c r="S149" s="31" t="s">
        <v>452</v>
      </c>
      <c r="T149" s="31" t="s">
        <v>72</v>
      </c>
      <c r="U149" s="31" t="s">
        <v>157</v>
      </c>
      <c r="V149" s="31" t="s">
        <v>155</v>
      </c>
      <c r="W149" s="31" t="s">
        <v>156</v>
      </c>
      <c r="Y149" s="14"/>
      <c r="Z149" s="14"/>
    </row>
    <row r="150" spans="1:26" s="12" customFormat="1" x14ac:dyDescent="0.25">
      <c r="A150" s="32">
        <v>76</v>
      </c>
      <c r="B150" s="48">
        <v>1586243609</v>
      </c>
      <c r="C150" s="16" t="s">
        <v>363</v>
      </c>
      <c r="D150" s="16" t="s">
        <v>666</v>
      </c>
      <c r="E150" s="21" t="s">
        <v>410</v>
      </c>
      <c r="F150" s="37">
        <v>16</v>
      </c>
      <c r="G150" s="105">
        <v>594.66999999999996</v>
      </c>
      <c r="H150" s="106">
        <f t="shared" ref="H150" si="65">F150*G150</f>
        <v>9514.7199999999993</v>
      </c>
      <c r="I150" s="64"/>
      <c r="J150" s="64"/>
      <c r="K150" s="76">
        <f>VLOOKUP($H$90,Tabisr,1)</f>
        <v>5081.01</v>
      </c>
      <c r="L150" s="72">
        <f>+H150-K150</f>
        <v>4433.7099999999991</v>
      </c>
      <c r="M150" s="77">
        <f>VLOOKUP($H$90,Tabisr,4)</f>
        <v>0.21360000000000001</v>
      </c>
      <c r="N150" s="76">
        <f>(H150-4244.01)*17.92%</f>
        <v>944.51123199999995</v>
      </c>
      <c r="O150" s="76">
        <v>388.05</v>
      </c>
      <c r="P150" s="76">
        <v>1358.22</v>
      </c>
      <c r="Q150" s="76">
        <f>VLOOKUP($H$90,Tabsub,3)</f>
        <v>0</v>
      </c>
      <c r="R150" s="64"/>
      <c r="S150" s="64">
        <v>1231</v>
      </c>
      <c r="T150" s="64"/>
      <c r="U150" s="64"/>
      <c r="V150" s="72">
        <f>H150+I150+J150-P150+Q150-R150-S150-T150-U150</f>
        <v>6925.4999999999991</v>
      </c>
      <c r="W150" s="72">
        <f>V150-I150</f>
        <v>6925.4999999999991</v>
      </c>
      <c r="Y150" s="25">
        <f>+H150+I150+J150+Q150-P150-R150-S150-T150-U150</f>
        <v>6925.4999999999991</v>
      </c>
      <c r="Z150" s="25">
        <f>+V150-I150</f>
        <v>6925.4999999999991</v>
      </c>
    </row>
    <row r="151" spans="1:26" s="10" customFormat="1" ht="19.5" x14ac:dyDescent="0.25">
      <c r="A151" s="32">
        <v>77</v>
      </c>
      <c r="B151" s="48">
        <v>1585781714</v>
      </c>
      <c r="C151" s="16" t="s">
        <v>532</v>
      </c>
      <c r="D151" s="175" t="s">
        <v>533</v>
      </c>
      <c r="E151" s="21" t="s">
        <v>537</v>
      </c>
      <c r="F151" s="67">
        <v>16</v>
      </c>
      <c r="G151" s="91">
        <v>250.29</v>
      </c>
      <c r="H151" s="76">
        <f>F151*G151</f>
        <v>4004.64</v>
      </c>
      <c r="I151" s="76">
        <v>400</v>
      </c>
      <c r="J151" s="32"/>
      <c r="K151" s="76">
        <f>VLOOKUP($H$28,Tabisr,1)</f>
        <v>3651.01</v>
      </c>
      <c r="L151" s="72">
        <f>+H151-K151</f>
        <v>353.62999999999965</v>
      </c>
      <c r="M151" s="77">
        <f>VLOOKUP($H$28,Tabisr,4)</f>
        <v>0.16</v>
      </c>
      <c r="N151" s="76">
        <f>(H151-3651.01)*16%</f>
        <v>56.580799999999947</v>
      </c>
      <c r="O151" s="76">
        <v>293.25</v>
      </c>
      <c r="P151" s="76">
        <f>O151+N151</f>
        <v>349.83079999999995</v>
      </c>
      <c r="Q151" s="76"/>
      <c r="R151" s="76"/>
      <c r="S151" s="76">
        <v>1121</v>
      </c>
      <c r="T151" s="76"/>
      <c r="U151" s="76"/>
      <c r="V151" s="72">
        <f>H151+I151+J151-P151+Q151-R151-S151-T151-U151</f>
        <v>2933.8091999999997</v>
      </c>
      <c r="W151" s="72">
        <f>V151-I151</f>
        <v>2533.8091999999997</v>
      </c>
      <c r="Y151" s="14">
        <f>+H151+I151+J151+Q151-P151-R151-S151-T151-U151</f>
        <v>2933.8091999999997</v>
      </c>
      <c r="Z151" s="14">
        <f>+V151-I151</f>
        <v>2533.8091999999997</v>
      </c>
    </row>
    <row r="152" spans="1:26" s="10" customFormat="1" x14ac:dyDescent="0.25">
      <c r="A152" s="33">
        <v>78</v>
      </c>
      <c r="B152" s="48">
        <v>1585781721</v>
      </c>
      <c r="C152" s="161" t="s">
        <v>204</v>
      </c>
      <c r="D152" s="162" t="s">
        <v>166</v>
      </c>
      <c r="E152" s="203" t="s">
        <v>228</v>
      </c>
      <c r="F152" s="67">
        <v>16</v>
      </c>
      <c r="G152" s="99">
        <v>250.29</v>
      </c>
      <c r="H152" s="68">
        <f>F152*G152</f>
        <v>4004.64</v>
      </c>
      <c r="I152" s="68">
        <v>400</v>
      </c>
      <c r="J152" s="33"/>
      <c r="K152" s="68">
        <f>VLOOKUP($H$28,Tabisr,1)</f>
        <v>3651.01</v>
      </c>
      <c r="L152" s="70">
        <f>+H152-K152</f>
        <v>353.62999999999965</v>
      </c>
      <c r="M152" s="71">
        <f>VLOOKUP($H$28,Tabisr,4)</f>
        <v>0.16</v>
      </c>
      <c r="N152" s="68">
        <f>(H152-3651.01)*16%</f>
        <v>56.580799999999947</v>
      </c>
      <c r="O152" s="68">
        <v>293.25</v>
      </c>
      <c r="P152" s="68">
        <f>O152+N152</f>
        <v>349.83079999999995</v>
      </c>
      <c r="Q152" s="68"/>
      <c r="R152" s="68"/>
      <c r="S152" s="68"/>
      <c r="T152" s="68"/>
      <c r="U152" s="68"/>
      <c r="V152" s="72">
        <f>H152+I152+J152-P152+Q152-R152-S152-T152-U152</f>
        <v>4054.8091999999997</v>
      </c>
      <c r="W152" s="70">
        <f>V152-I152</f>
        <v>3654.8091999999997</v>
      </c>
      <c r="Y152" s="14">
        <f>+H152+I152+J152+Q152-P152-R152-S152-T152-U152</f>
        <v>4054.8091999999997</v>
      </c>
      <c r="Z152" s="14">
        <f>+V152-I152</f>
        <v>3654.8091999999997</v>
      </c>
    </row>
    <row r="153" spans="1:26" s="10" customFormat="1" x14ac:dyDescent="0.25">
      <c r="A153" s="34"/>
      <c r="B153" s="53"/>
      <c r="C153" s="169"/>
      <c r="D153" s="170"/>
      <c r="E153" s="234"/>
      <c r="F153" s="88"/>
      <c r="G153" s="88"/>
      <c r="H153" s="93">
        <f>+SUM(H150:H152)</f>
        <v>17524</v>
      </c>
      <c r="I153" s="93">
        <f>+SUM(I150:I152)</f>
        <v>800</v>
      </c>
      <c r="J153" s="93">
        <f t="shared" ref="J153:O153" si="66">+SUM(J150:J152)</f>
        <v>0</v>
      </c>
      <c r="K153" s="93">
        <f t="shared" si="66"/>
        <v>12383.03</v>
      </c>
      <c r="L153" s="93">
        <f t="shared" si="66"/>
        <v>5140.9699999999975</v>
      </c>
      <c r="M153" s="93">
        <f t="shared" si="66"/>
        <v>0.53360000000000007</v>
      </c>
      <c r="N153" s="93">
        <f t="shared" si="66"/>
        <v>1057.6728319999997</v>
      </c>
      <c r="O153" s="93">
        <f t="shared" si="66"/>
        <v>974.55</v>
      </c>
      <c r="P153" s="93">
        <f t="shared" ref="P153:W153" si="67">+SUM(P150:P152)</f>
        <v>2057.8815999999997</v>
      </c>
      <c r="Q153" s="93">
        <f t="shared" si="67"/>
        <v>0</v>
      </c>
      <c r="R153" s="93">
        <f t="shared" si="67"/>
        <v>0</v>
      </c>
      <c r="S153" s="93">
        <f t="shared" si="67"/>
        <v>2352</v>
      </c>
      <c r="T153" s="93">
        <f t="shared" si="67"/>
        <v>0</v>
      </c>
      <c r="U153" s="93">
        <f t="shared" si="67"/>
        <v>0</v>
      </c>
      <c r="V153" s="93">
        <f t="shared" si="67"/>
        <v>13914.118399999999</v>
      </c>
      <c r="W153" s="93">
        <f t="shared" si="67"/>
        <v>13114.118399999999</v>
      </c>
      <c r="Y153" s="15">
        <f>+SUM(Y150:Y152)</f>
        <v>13914.118399999999</v>
      </c>
      <c r="Z153" s="15">
        <f>+SUM(Z150:Z152)</f>
        <v>13114.118399999999</v>
      </c>
    </row>
    <row r="154" spans="1:26" s="10" customFormat="1" x14ac:dyDescent="0.25">
      <c r="A154" s="34"/>
      <c r="B154" s="53"/>
      <c r="C154" s="169"/>
      <c r="D154" s="170"/>
      <c r="E154" s="234"/>
      <c r="F154" s="88"/>
      <c r="G154" s="88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Y154" s="14"/>
      <c r="Z154" s="14"/>
    </row>
    <row r="155" spans="1:26" s="10" customFormat="1" ht="18.75" x14ac:dyDescent="0.25">
      <c r="A155" s="277" t="s">
        <v>395</v>
      </c>
      <c r="B155" s="278"/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9"/>
      <c r="Y155" s="14"/>
      <c r="Z155" s="14"/>
    </row>
    <row r="156" spans="1:26" s="10" customFormat="1" ht="31.5" customHeight="1" x14ac:dyDescent="0.25">
      <c r="A156" s="31" t="s">
        <v>69</v>
      </c>
      <c r="B156" s="52" t="s">
        <v>588</v>
      </c>
      <c r="C156" s="31" t="s">
        <v>17</v>
      </c>
      <c r="D156" s="31" t="s">
        <v>161</v>
      </c>
      <c r="E156" s="31" t="s">
        <v>143</v>
      </c>
      <c r="F156" s="31" t="s">
        <v>27</v>
      </c>
      <c r="G156" s="31" t="s">
        <v>19</v>
      </c>
      <c r="H156" s="31" t="s">
        <v>18</v>
      </c>
      <c r="I156" s="31" t="s">
        <v>66</v>
      </c>
      <c r="J156" s="31" t="s">
        <v>74</v>
      </c>
      <c r="K156" s="50" t="s">
        <v>301</v>
      </c>
      <c r="L156" s="50" t="s">
        <v>302</v>
      </c>
      <c r="M156" s="50" t="s">
        <v>303</v>
      </c>
      <c r="N156" s="50" t="s">
        <v>304</v>
      </c>
      <c r="O156" s="31" t="s">
        <v>305</v>
      </c>
      <c r="P156" s="31" t="s">
        <v>67</v>
      </c>
      <c r="Q156" s="31" t="s">
        <v>68</v>
      </c>
      <c r="R156" s="31" t="s">
        <v>20</v>
      </c>
      <c r="S156" s="31" t="s">
        <v>452</v>
      </c>
      <c r="T156" s="31" t="s">
        <v>72</v>
      </c>
      <c r="U156" s="31" t="s">
        <v>157</v>
      </c>
      <c r="V156" s="31" t="s">
        <v>155</v>
      </c>
      <c r="W156" s="31" t="s">
        <v>156</v>
      </c>
      <c r="Y156" s="14"/>
      <c r="Z156" s="14"/>
    </row>
    <row r="157" spans="1:26" s="10" customFormat="1" x14ac:dyDescent="0.25">
      <c r="A157" s="32">
        <v>79</v>
      </c>
      <c r="B157" s="48">
        <v>1585781739</v>
      </c>
      <c r="C157" s="16" t="s">
        <v>26</v>
      </c>
      <c r="D157" s="16" t="s">
        <v>184</v>
      </c>
      <c r="E157" s="19" t="s">
        <v>94</v>
      </c>
      <c r="F157" s="67">
        <v>16</v>
      </c>
      <c r="G157" s="76">
        <v>393.95</v>
      </c>
      <c r="H157" s="76">
        <f>F157*G157</f>
        <v>6303.2</v>
      </c>
      <c r="I157" s="76">
        <v>400</v>
      </c>
      <c r="J157" s="32"/>
      <c r="K157" s="76">
        <f>VLOOKUP($H$206,Tabisr,1)</f>
        <v>5081.01</v>
      </c>
      <c r="L157" s="72">
        <f>+H157-K157</f>
        <v>1222.1899999999996</v>
      </c>
      <c r="M157" s="77">
        <f>VLOOKUP($H$206,Tabisr,4)</f>
        <v>0.21360000000000001</v>
      </c>
      <c r="N157" s="76">
        <f>+L157*M157</f>
        <v>261.05978399999992</v>
      </c>
      <c r="O157" s="76">
        <f>VLOOKUP($H$206,Tabisr,3)</f>
        <v>538.20000000000005</v>
      </c>
      <c r="P157" s="64">
        <f>+N157+O157</f>
        <v>799.25978399999997</v>
      </c>
      <c r="Q157" s="76"/>
      <c r="R157" s="76"/>
      <c r="S157" s="76"/>
      <c r="T157" s="76"/>
      <c r="U157" s="76"/>
      <c r="V157" s="72">
        <f>H157+I157+J157-P157+Q157-R157-S157-T157-U157</f>
        <v>5903.940216</v>
      </c>
      <c r="W157" s="72">
        <f>V157-I157</f>
        <v>5503.940216</v>
      </c>
      <c r="Y157" s="14">
        <f>+H157+I157+J157+Q157-P157-R157-S157-T157-U157</f>
        <v>5903.940216</v>
      </c>
      <c r="Z157" s="14">
        <f>+V157-I157</f>
        <v>5503.940216</v>
      </c>
    </row>
    <row r="158" spans="1:26" s="10" customFormat="1" x14ac:dyDescent="0.25">
      <c r="A158" s="33">
        <v>80</v>
      </c>
      <c r="B158" s="48">
        <v>1585781747</v>
      </c>
      <c r="C158" s="16" t="s">
        <v>3</v>
      </c>
      <c r="D158" s="162" t="s">
        <v>163</v>
      </c>
      <c r="E158" s="162" t="s">
        <v>99</v>
      </c>
      <c r="F158" s="90">
        <v>16</v>
      </c>
      <c r="G158" s="68">
        <v>250.29</v>
      </c>
      <c r="H158" s="68">
        <f>F158*G158</f>
        <v>4004.64</v>
      </c>
      <c r="I158" s="68">
        <v>400</v>
      </c>
      <c r="J158" s="70">
        <f>G158*1</f>
        <v>250.29</v>
      </c>
      <c r="K158" s="68">
        <f>VLOOKUP($H$158,Tabisr,1)</f>
        <v>3651.01</v>
      </c>
      <c r="L158" s="70">
        <f>+H158-K158</f>
        <v>353.62999999999965</v>
      </c>
      <c r="M158" s="71">
        <f>VLOOKUP($H$158,Tabisr,4)</f>
        <v>0.16</v>
      </c>
      <c r="N158" s="68">
        <f>(H158-3651.01)*16%</f>
        <v>56.580799999999947</v>
      </c>
      <c r="O158" s="68">
        <v>293.25</v>
      </c>
      <c r="P158" s="76">
        <f>O158+N158</f>
        <v>349.83079999999995</v>
      </c>
      <c r="Q158" s="68"/>
      <c r="R158" s="33"/>
      <c r="S158" s="33"/>
      <c r="T158" s="33"/>
      <c r="U158" s="103"/>
      <c r="V158" s="72">
        <f>H158+I158+J158-P158+Q158-R158-S158-T158-U158</f>
        <v>4305.0991999999997</v>
      </c>
      <c r="W158" s="70">
        <f>V158-I158</f>
        <v>3905.0991999999997</v>
      </c>
      <c r="Y158" s="14">
        <f>+H158+I158+J158+Q158-P158-R158-S158-T158-U158</f>
        <v>4305.0991999999997</v>
      </c>
      <c r="Z158" s="14">
        <f>+V158-I158</f>
        <v>3905.0991999999997</v>
      </c>
    </row>
    <row r="159" spans="1:26" s="11" customFormat="1" x14ac:dyDescent="0.25">
      <c r="A159" s="38">
        <v>81</v>
      </c>
      <c r="B159" s="54"/>
      <c r="C159" s="165" t="s">
        <v>458</v>
      </c>
      <c r="D159" s="23" t="s">
        <v>163</v>
      </c>
      <c r="E159" s="204"/>
      <c r="F159" s="82"/>
      <c r="G159" s="83"/>
      <c r="H159" s="83"/>
      <c r="I159" s="84"/>
      <c r="J159" s="84"/>
      <c r="K159" s="83"/>
      <c r="L159" s="85"/>
      <c r="M159" s="86"/>
      <c r="N159" s="83"/>
      <c r="O159" s="83"/>
      <c r="P159" s="83"/>
      <c r="Q159" s="83"/>
      <c r="R159" s="84"/>
      <c r="S159" s="84"/>
      <c r="T159" s="84"/>
      <c r="U159" s="84"/>
      <c r="V159" s="85"/>
      <c r="W159" s="85"/>
      <c r="Y159" s="14">
        <f>+H159+I159+J159+Q159-P159-R159-S159-T159-U159</f>
        <v>0</v>
      </c>
      <c r="Z159" s="14">
        <f>+V159-I159</f>
        <v>0</v>
      </c>
    </row>
    <row r="160" spans="1:26" s="10" customFormat="1" x14ac:dyDescent="0.25">
      <c r="A160" s="34"/>
      <c r="B160" s="53"/>
      <c r="C160" s="169"/>
      <c r="D160" s="170"/>
      <c r="E160" s="234"/>
      <c r="F160" s="88"/>
      <c r="G160" s="88"/>
      <c r="H160" s="93">
        <f>+SUM(H157:H159)</f>
        <v>10307.84</v>
      </c>
      <c r="I160" s="93">
        <f>+SUM(I157:I159)</f>
        <v>800</v>
      </c>
      <c r="J160" s="93">
        <f>+SUM(J157:J159)</f>
        <v>250.29</v>
      </c>
      <c r="K160" s="93">
        <f t="shared" ref="K160:W160" si="68">+SUM(K157:K159)</f>
        <v>8732.02</v>
      </c>
      <c r="L160" s="93">
        <f t="shared" si="68"/>
        <v>1575.8199999999993</v>
      </c>
      <c r="M160" s="93">
        <f t="shared" si="68"/>
        <v>0.37360000000000004</v>
      </c>
      <c r="N160" s="93">
        <f t="shared" si="68"/>
        <v>317.64058399999988</v>
      </c>
      <c r="O160" s="93">
        <f t="shared" si="68"/>
        <v>831.45</v>
      </c>
      <c r="P160" s="93">
        <f>+SUM(P157:P159)</f>
        <v>1149.090584</v>
      </c>
      <c r="Q160" s="93">
        <f>+SUM(Q157:Q159)</f>
        <v>0</v>
      </c>
      <c r="R160" s="93">
        <f>+SUM(R157:R159)</f>
        <v>0</v>
      </c>
      <c r="S160" s="93">
        <f>+SUM(S157:S159)</f>
        <v>0</v>
      </c>
      <c r="T160" s="93">
        <f>+SUM(T157:T159)</f>
        <v>0</v>
      </c>
      <c r="U160" s="93">
        <f t="shared" si="68"/>
        <v>0</v>
      </c>
      <c r="V160" s="93">
        <f t="shared" si="68"/>
        <v>10209.039416</v>
      </c>
      <c r="W160" s="93">
        <f t="shared" si="68"/>
        <v>9409.0394159999996</v>
      </c>
      <c r="Y160" s="15">
        <f>+SUM(Y157:Y159)</f>
        <v>10209.039416</v>
      </c>
      <c r="Z160" s="15">
        <f>+SUM(Z157:Z159)</f>
        <v>9409.0394159999996</v>
      </c>
    </row>
    <row r="161" spans="1:26" s="10" customFormat="1" x14ac:dyDescent="0.25">
      <c r="A161" s="34"/>
      <c r="B161" s="53"/>
      <c r="C161" s="169"/>
      <c r="D161" s="170"/>
      <c r="E161" s="234"/>
      <c r="F161" s="88"/>
      <c r="G161" s="88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Y161" s="14"/>
      <c r="Z161" s="14"/>
    </row>
    <row r="162" spans="1:26" s="10" customFormat="1" ht="18.75" x14ac:dyDescent="0.25">
      <c r="A162" s="277" t="s">
        <v>396</v>
      </c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9"/>
      <c r="Y162" s="14"/>
      <c r="Z162" s="14"/>
    </row>
    <row r="163" spans="1:26" s="10" customFormat="1" ht="36.75" customHeight="1" x14ac:dyDescent="0.25">
      <c r="A163" s="31" t="s">
        <v>69</v>
      </c>
      <c r="B163" s="52" t="s">
        <v>588</v>
      </c>
      <c r="C163" s="31" t="s">
        <v>17</v>
      </c>
      <c r="D163" s="31" t="s">
        <v>161</v>
      </c>
      <c r="E163" s="31" t="s">
        <v>143</v>
      </c>
      <c r="F163" s="31" t="s">
        <v>27</v>
      </c>
      <c r="G163" s="31" t="s">
        <v>19</v>
      </c>
      <c r="H163" s="31" t="s">
        <v>18</v>
      </c>
      <c r="I163" s="31" t="s">
        <v>66</v>
      </c>
      <c r="J163" s="31" t="s">
        <v>74</v>
      </c>
      <c r="K163" s="50" t="s">
        <v>301</v>
      </c>
      <c r="L163" s="50" t="s">
        <v>302</v>
      </c>
      <c r="M163" s="50" t="s">
        <v>303</v>
      </c>
      <c r="N163" s="50" t="s">
        <v>304</v>
      </c>
      <c r="O163" s="31" t="s">
        <v>305</v>
      </c>
      <c r="P163" s="31" t="s">
        <v>67</v>
      </c>
      <c r="Q163" s="31" t="s">
        <v>68</v>
      </c>
      <c r="R163" s="31" t="s">
        <v>20</v>
      </c>
      <c r="S163" s="31" t="s">
        <v>452</v>
      </c>
      <c r="T163" s="31" t="s">
        <v>72</v>
      </c>
      <c r="U163" s="31" t="s">
        <v>157</v>
      </c>
      <c r="V163" s="31" t="s">
        <v>155</v>
      </c>
      <c r="W163" s="31" t="s">
        <v>156</v>
      </c>
      <c r="Y163" s="14"/>
      <c r="Z163" s="14"/>
    </row>
    <row r="164" spans="1:26" s="10" customFormat="1" ht="22.5" x14ac:dyDescent="0.25">
      <c r="A164" s="32">
        <v>82</v>
      </c>
      <c r="B164" s="48">
        <v>1585781755</v>
      </c>
      <c r="C164" s="16" t="s">
        <v>193</v>
      </c>
      <c r="D164" s="16" t="s">
        <v>364</v>
      </c>
      <c r="E164" s="21" t="s">
        <v>222</v>
      </c>
      <c r="F164" s="67">
        <v>16</v>
      </c>
      <c r="G164" s="76">
        <v>594.66999999999996</v>
      </c>
      <c r="H164" s="76">
        <f t="shared" ref="H164:H172" si="69">F164*G164</f>
        <v>9514.7199999999993</v>
      </c>
      <c r="I164" s="76"/>
      <c r="J164" s="76"/>
      <c r="K164" s="76">
        <f>VLOOKUP($H$177,Tabisr,1)</f>
        <v>5081.01</v>
      </c>
      <c r="L164" s="72">
        <f t="shared" ref="L164:L172" si="70">+H164-K164</f>
        <v>4433.7099999999991</v>
      </c>
      <c r="M164" s="77">
        <f>VLOOKUP($H$177,Tabisr,4)</f>
        <v>0.21360000000000001</v>
      </c>
      <c r="N164" s="76">
        <f>(H164-5081.01)*21.36%</f>
        <v>947.04045599999972</v>
      </c>
      <c r="O164" s="76">
        <v>538.20000000000005</v>
      </c>
      <c r="P164" s="76">
        <f t="shared" ref="P164:P172" si="71">N164+O164</f>
        <v>1485.2404559999998</v>
      </c>
      <c r="Q164" s="76">
        <f>VLOOKUP($H$177,Tabsub,3)</f>
        <v>0</v>
      </c>
      <c r="R164" s="76"/>
      <c r="S164" s="76"/>
      <c r="T164" s="76"/>
      <c r="U164" s="76"/>
      <c r="V164" s="72">
        <f t="shared" ref="V164:V172" si="72">H164+I164+J164-P164+Q164-R164-S164-T164-U164</f>
        <v>8029.4795439999998</v>
      </c>
      <c r="W164" s="72">
        <f t="shared" ref="W164:W172" si="73">V164-I164</f>
        <v>8029.4795439999998</v>
      </c>
      <c r="Y164" s="14">
        <f t="shared" ref="Y164:Y172" si="74">+H164+I164+J164+Q164-P164-R164-S164-T164-U164</f>
        <v>8029.4795439999998</v>
      </c>
      <c r="Z164" s="14">
        <f t="shared" ref="Z164:Z172" si="75">+V164-I164</f>
        <v>8029.4795439999998</v>
      </c>
    </row>
    <row r="165" spans="1:26" s="10" customFormat="1" x14ac:dyDescent="0.25">
      <c r="A165" s="269"/>
      <c r="B165" s="270"/>
      <c r="C165" s="271" t="s">
        <v>675</v>
      </c>
      <c r="D165" s="271" t="s">
        <v>163</v>
      </c>
      <c r="E165" s="272"/>
      <c r="F165" s="273"/>
      <c r="G165" s="274"/>
      <c r="H165" s="275"/>
      <c r="I165" s="275"/>
      <c r="J165" s="275"/>
      <c r="K165" s="275"/>
      <c r="L165" s="275"/>
      <c r="M165" s="275"/>
      <c r="N165" s="275"/>
      <c r="O165" s="275"/>
      <c r="P165" s="276"/>
      <c r="Q165" s="275"/>
      <c r="R165" s="275"/>
      <c r="S165" s="276"/>
      <c r="T165" s="276"/>
      <c r="U165" s="276"/>
      <c r="V165" s="276"/>
      <c r="W165" s="276"/>
      <c r="Y165" s="14">
        <f>+H165+I165+J165+Q165-P165-R165-S165-T165-U165</f>
        <v>0</v>
      </c>
      <c r="Z165" s="14">
        <f>+V165-I165</f>
        <v>0</v>
      </c>
    </row>
    <row r="166" spans="1:26" s="10" customFormat="1" ht="22.5" x14ac:dyDescent="0.25">
      <c r="A166" s="32">
        <v>84</v>
      </c>
      <c r="B166" s="48">
        <v>1586243554</v>
      </c>
      <c r="C166" s="16" t="s">
        <v>417</v>
      </c>
      <c r="D166" s="16" t="s">
        <v>365</v>
      </c>
      <c r="E166" s="19" t="s">
        <v>129</v>
      </c>
      <c r="F166" s="67">
        <v>16</v>
      </c>
      <c r="G166" s="76">
        <v>296.54000000000002</v>
      </c>
      <c r="H166" s="76">
        <f t="shared" si="69"/>
        <v>4744.6400000000003</v>
      </c>
      <c r="I166" s="64">
        <v>400</v>
      </c>
      <c r="J166" s="64"/>
      <c r="K166" s="76">
        <f>VLOOKUP($H$90,Tabisr,1)</f>
        <v>5081.01</v>
      </c>
      <c r="L166" s="72">
        <f t="shared" si="70"/>
        <v>-336.36999999999989</v>
      </c>
      <c r="M166" s="77">
        <f>VLOOKUP($H$90,Tabisr,4)</f>
        <v>0.21360000000000001</v>
      </c>
      <c r="N166" s="76">
        <f>(H166-4244.01)*17.92%</f>
        <v>89.712896000000029</v>
      </c>
      <c r="O166" s="76">
        <v>388.05</v>
      </c>
      <c r="P166" s="76">
        <f t="shared" si="71"/>
        <v>477.76289600000007</v>
      </c>
      <c r="Q166" s="76">
        <f>VLOOKUP($H$90,Tabsub,3)</f>
        <v>0</v>
      </c>
      <c r="R166" s="64"/>
      <c r="S166" s="64">
        <v>583</v>
      </c>
      <c r="T166" s="64"/>
      <c r="U166" s="64"/>
      <c r="V166" s="72">
        <f t="shared" si="72"/>
        <v>4083.8771040000001</v>
      </c>
      <c r="W166" s="72">
        <f t="shared" si="73"/>
        <v>3683.8771040000001</v>
      </c>
      <c r="Y166" s="14">
        <f t="shared" si="74"/>
        <v>4083.8771040000001</v>
      </c>
      <c r="Z166" s="14">
        <f t="shared" si="75"/>
        <v>3683.8771040000001</v>
      </c>
    </row>
    <row r="167" spans="1:26" s="10" customFormat="1" ht="22.5" x14ac:dyDescent="0.25">
      <c r="A167" s="32">
        <v>85</v>
      </c>
      <c r="B167" s="48">
        <v>1585781763</v>
      </c>
      <c r="C167" s="16" t="s">
        <v>461</v>
      </c>
      <c r="D167" s="16" t="s">
        <v>656</v>
      </c>
      <c r="E167" s="19" t="s">
        <v>462</v>
      </c>
      <c r="F167" s="67">
        <v>16</v>
      </c>
      <c r="G167" s="76">
        <v>296.54000000000002</v>
      </c>
      <c r="H167" s="76">
        <f t="shared" si="69"/>
        <v>4744.6400000000003</v>
      </c>
      <c r="I167" s="76">
        <v>400</v>
      </c>
      <c r="J167" s="76"/>
      <c r="K167" s="76">
        <f>VLOOKUP($H$90,Tabisr,1)</f>
        <v>5081.01</v>
      </c>
      <c r="L167" s="72">
        <f t="shared" si="70"/>
        <v>-336.36999999999989</v>
      </c>
      <c r="M167" s="77">
        <f>VLOOKUP($H$90,Tabisr,4)</f>
        <v>0.21360000000000001</v>
      </c>
      <c r="N167" s="76">
        <f>(H167-4244.01)*17.92%</f>
        <v>89.712896000000029</v>
      </c>
      <c r="O167" s="76">
        <v>388.05</v>
      </c>
      <c r="P167" s="76">
        <f t="shared" si="71"/>
        <v>477.76289600000007</v>
      </c>
      <c r="Q167" s="76">
        <f>VLOOKUP($H$168,Tabsub,3)</f>
        <v>0</v>
      </c>
      <c r="R167" s="76"/>
      <c r="S167" s="76"/>
      <c r="T167" s="76"/>
      <c r="U167" s="76"/>
      <c r="V167" s="72">
        <f t="shared" si="72"/>
        <v>4666.8771040000001</v>
      </c>
      <c r="W167" s="72">
        <f t="shared" si="73"/>
        <v>4266.8771040000001</v>
      </c>
      <c r="Y167" s="14">
        <f t="shared" si="74"/>
        <v>4666.8771040000001</v>
      </c>
      <c r="Z167" s="14">
        <f t="shared" si="75"/>
        <v>4266.8771040000001</v>
      </c>
    </row>
    <row r="168" spans="1:26" s="10" customFormat="1" x14ac:dyDescent="0.25">
      <c r="A168" s="32">
        <v>86</v>
      </c>
      <c r="B168" s="48">
        <v>448640955</v>
      </c>
      <c r="C168" s="16" t="s">
        <v>50</v>
      </c>
      <c r="D168" s="161" t="s">
        <v>262</v>
      </c>
      <c r="E168" s="162" t="s">
        <v>130</v>
      </c>
      <c r="F168" s="67">
        <v>16</v>
      </c>
      <c r="G168" s="68">
        <v>250.29</v>
      </c>
      <c r="H168" s="68">
        <f t="shared" si="69"/>
        <v>4004.64</v>
      </c>
      <c r="I168" s="68">
        <v>400</v>
      </c>
      <c r="J168" s="68"/>
      <c r="K168" s="68">
        <f>VLOOKUP($H$168,Tabisr,1)</f>
        <v>3651.01</v>
      </c>
      <c r="L168" s="70">
        <f t="shared" si="70"/>
        <v>353.62999999999965</v>
      </c>
      <c r="M168" s="71">
        <f>VLOOKUP($H$168,Tabisr,4)</f>
        <v>0.16</v>
      </c>
      <c r="N168" s="68">
        <f>(H168-3651.01)*16%</f>
        <v>56.580799999999947</v>
      </c>
      <c r="O168" s="68">
        <v>293.25</v>
      </c>
      <c r="P168" s="68">
        <f t="shared" si="71"/>
        <v>349.83079999999995</v>
      </c>
      <c r="Q168" s="68">
        <f>VLOOKUP($H$168,Tabsub,3)</f>
        <v>0</v>
      </c>
      <c r="R168" s="68"/>
      <c r="S168" s="68"/>
      <c r="T168" s="68"/>
      <c r="U168" s="68"/>
      <c r="V168" s="72">
        <f t="shared" si="72"/>
        <v>4054.8091999999997</v>
      </c>
      <c r="W168" s="70">
        <f t="shared" si="73"/>
        <v>3654.8091999999997</v>
      </c>
      <c r="Y168" s="14">
        <f t="shared" si="74"/>
        <v>4054.8091999999997</v>
      </c>
      <c r="Z168" s="14">
        <f t="shared" si="75"/>
        <v>3654.8091999999997</v>
      </c>
    </row>
    <row r="169" spans="1:26" s="10" customFormat="1" x14ac:dyDescent="0.25">
      <c r="A169" s="32">
        <v>87</v>
      </c>
      <c r="B169" s="48">
        <v>1585781772</v>
      </c>
      <c r="C169" s="16" t="s">
        <v>11</v>
      </c>
      <c r="D169" s="161" t="s">
        <v>178</v>
      </c>
      <c r="E169" s="162" t="s">
        <v>131</v>
      </c>
      <c r="F169" s="67">
        <v>16</v>
      </c>
      <c r="G169" s="68">
        <v>250.29</v>
      </c>
      <c r="H169" s="68">
        <f t="shared" si="69"/>
        <v>4004.64</v>
      </c>
      <c r="I169" s="68">
        <v>400</v>
      </c>
      <c r="J169" s="68"/>
      <c r="K169" s="68">
        <f>VLOOKUP($H$169,Tabisr,1)</f>
        <v>3651.01</v>
      </c>
      <c r="L169" s="70">
        <f t="shared" si="70"/>
        <v>353.62999999999965</v>
      </c>
      <c r="M169" s="71">
        <f>VLOOKUP($H$169,Tabisr,4)</f>
        <v>0.16</v>
      </c>
      <c r="N169" s="68">
        <f>(H169-3651.01)*16%</f>
        <v>56.580799999999947</v>
      </c>
      <c r="O169" s="68">
        <v>293.25</v>
      </c>
      <c r="P169" s="68">
        <f t="shared" si="71"/>
        <v>349.83079999999995</v>
      </c>
      <c r="Q169" s="68">
        <f>VLOOKUP($H$169,Tabsub,3)</f>
        <v>0</v>
      </c>
      <c r="R169" s="68"/>
      <c r="S169" s="68"/>
      <c r="T169" s="68"/>
      <c r="U169" s="68"/>
      <c r="V169" s="72">
        <f t="shared" si="72"/>
        <v>4054.8091999999997</v>
      </c>
      <c r="W169" s="70">
        <f t="shared" si="73"/>
        <v>3654.8091999999997</v>
      </c>
      <c r="Y169" s="14">
        <f t="shared" si="74"/>
        <v>4054.8091999999997</v>
      </c>
      <c r="Z169" s="14">
        <f t="shared" si="75"/>
        <v>3654.8091999999997</v>
      </c>
    </row>
    <row r="170" spans="1:26" s="10" customFormat="1" x14ac:dyDescent="0.25">
      <c r="A170" s="32">
        <v>88</v>
      </c>
      <c r="B170" s="48">
        <v>1585781780</v>
      </c>
      <c r="C170" s="16" t="s">
        <v>219</v>
      </c>
      <c r="D170" s="161" t="s">
        <v>449</v>
      </c>
      <c r="E170" s="162" t="s">
        <v>240</v>
      </c>
      <c r="F170" s="67">
        <v>16</v>
      </c>
      <c r="G170" s="68">
        <v>250.29</v>
      </c>
      <c r="H170" s="68">
        <f t="shared" si="69"/>
        <v>4004.64</v>
      </c>
      <c r="I170" s="68">
        <v>400</v>
      </c>
      <c r="J170" s="68"/>
      <c r="K170" s="68">
        <f>VLOOKUP($H$170,Tabisr,1)</f>
        <v>3651.01</v>
      </c>
      <c r="L170" s="70">
        <f t="shared" si="70"/>
        <v>353.62999999999965</v>
      </c>
      <c r="M170" s="71">
        <f>VLOOKUP($H$170,Tabisr,4)</f>
        <v>0.16</v>
      </c>
      <c r="N170" s="68">
        <f>(H170-3651.01)*16%</f>
        <v>56.580799999999947</v>
      </c>
      <c r="O170" s="68">
        <v>293.25</v>
      </c>
      <c r="P170" s="68">
        <f t="shared" si="71"/>
        <v>349.83079999999995</v>
      </c>
      <c r="Q170" s="68">
        <f>VLOOKUP($H$170,Tabsub,3)</f>
        <v>0</v>
      </c>
      <c r="R170" s="68"/>
      <c r="S170" s="68"/>
      <c r="T170" s="68"/>
      <c r="U170" s="68"/>
      <c r="V170" s="72">
        <f t="shared" si="72"/>
        <v>4054.8091999999997</v>
      </c>
      <c r="W170" s="70">
        <f t="shared" si="73"/>
        <v>3654.8091999999997</v>
      </c>
      <c r="Y170" s="14">
        <f t="shared" si="74"/>
        <v>4054.8091999999997</v>
      </c>
      <c r="Z170" s="14">
        <f t="shared" si="75"/>
        <v>3654.8091999999997</v>
      </c>
    </row>
    <row r="171" spans="1:26" s="10" customFormat="1" x14ac:dyDescent="0.25">
      <c r="A171" s="32">
        <v>89</v>
      </c>
      <c r="B171" s="48">
        <v>1585781798</v>
      </c>
      <c r="C171" s="16" t="s">
        <v>73</v>
      </c>
      <c r="D171" s="162" t="s">
        <v>177</v>
      </c>
      <c r="E171" s="162" t="s">
        <v>142</v>
      </c>
      <c r="F171" s="67">
        <v>16</v>
      </c>
      <c r="G171" s="68">
        <v>296.54000000000002</v>
      </c>
      <c r="H171" s="68">
        <f t="shared" si="69"/>
        <v>4744.6400000000003</v>
      </c>
      <c r="I171" s="68">
        <v>400</v>
      </c>
      <c r="J171" s="68"/>
      <c r="K171" s="68">
        <f>VLOOKUP($H$90,Tabisr,1)</f>
        <v>5081.01</v>
      </c>
      <c r="L171" s="70">
        <f t="shared" si="70"/>
        <v>-336.36999999999989</v>
      </c>
      <c r="M171" s="71">
        <f>VLOOKUP($H$90,Tabisr,4)</f>
        <v>0.21360000000000001</v>
      </c>
      <c r="N171" s="68">
        <f>(H171-4244.01)*17.92%</f>
        <v>89.712896000000029</v>
      </c>
      <c r="O171" s="76">
        <v>388.05</v>
      </c>
      <c r="P171" s="68">
        <f t="shared" si="71"/>
        <v>477.76289600000007</v>
      </c>
      <c r="Q171" s="68">
        <f>VLOOKUP($H$171,Tabsub,3)</f>
        <v>0</v>
      </c>
      <c r="R171" s="68"/>
      <c r="S171" s="68"/>
      <c r="T171" s="68"/>
      <c r="U171" s="68"/>
      <c r="V171" s="72">
        <f t="shared" si="72"/>
        <v>4666.8771040000001</v>
      </c>
      <c r="W171" s="70">
        <f t="shared" si="73"/>
        <v>4266.8771040000001</v>
      </c>
      <c r="Y171" s="14">
        <f t="shared" si="74"/>
        <v>4666.8771040000001</v>
      </c>
      <c r="Z171" s="14">
        <f t="shared" si="75"/>
        <v>4266.8771040000001</v>
      </c>
    </row>
    <row r="172" spans="1:26" s="10" customFormat="1" x14ac:dyDescent="0.25">
      <c r="A172" s="32">
        <v>90</v>
      </c>
      <c r="B172" s="48">
        <v>1589054343</v>
      </c>
      <c r="C172" s="16" t="s">
        <v>51</v>
      </c>
      <c r="D172" s="19" t="s">
        <v>176</v>
      </c>
      <c r="E172" s="19" t="s">
        <v>132</v>
      </c>
      <c r="F172" s="67">
        <v>16</v>
      </c>
      <c r="G172" s="76">
        <v>203.32</v>
      </c>
      <c r="H172" s="76">
        <f t="shared" si="69"/>
        <v>3253.12</v>
      </c>
      <c r="I172" s="76">
        <v>400</v>
      </c>
      <c r="J172" s="76"/>
      <c r="K172" s="76">
        <f>VLOOKUP($H$172,Tabisr,1)</f>
        <v>2077.5100000000002</v>
      </c>
      <c r="L172" s="72">
        <f t="shared" si="70"/>
        <v>1175.6099999999997</v>
      </c>
      <c r="M172" s="77">
        <f>VLOOKUP($H$172,Tabisr,4)</f>
        <v>0.10879999999999999</v>
      </c>
      <c r="N172" s="76">
        <f>(H172-2077.51)*10.88%</f>
        <v>127.90636799999997</v>
      </c>
      <c r="O172" s="76">
        <v>121.95</v>
      </c>
      <c r="P172" s="76">
        <f t="shared" si="71"/>
        <v>249.85636799999997</v>
      </c>
      <c r="Q172" s="76">
        <f>VLOOKUP($H$172,Tabsub,3)</f>
        <v>125.1</v>
      </c>
      <c r="R172" s="76"/>
      <c r="S172" s="76"/>
      <c r="T172" s="76"/>
      <c r="U172" s="76"/>
      <c r="V172" s="72">
        <f t="shared" si="72"/>
        <v>3528.3636320000001</v>
      </c>
      <c r="W172" s="72">
        <f t="shared" si="73"/>
        <v>3128.3636320000001</v>
      </c>
      <c r="Y172" s="14">
        <f t="shared" si="74"/>
        <v>3528.3636319999996</v>
      </c>
      <c r="Z172" s="14">
        <f t="shared" si="75"/>
        <v>3128.3636320000001</v>
      </c>
    </row>
    <row r="173" spans="1:26" s="10" customFormat="1" x14ac:dyDescent="0.25">
      <c r="A173" s="34"/>
      <c r="B173" s="53"/>
      <c r="C173" s="169"/>
      <c r="D173" s="170"/>
      <c r="E173" s="234"/>
      <c r="F173" s="88"/>
      <c r="G173" s="88"/>
      <c r="H173" s="89">
        <f>+SUM(H164:H172)</f>
        <v>39015.68</v>
      </c>
      <c r="I173" s="89">
        <f>+SUM(I164:I172)</f>
        <v>2800</v>
      </c>
      <c r="J173" s="89">
        <f t="shared" ref="J173:W173" si="76">+SUM(J164:J172)</f>
        <v>0</v>
      </c>
      <c r="K173" s="89">
        <f t="shared" si="76"/>
        <v>33354.580000000009</v>
      </c>
      <c r="L173" s="89">
        <f t="shared" si="76"/>
        <v>5661.0999999999967</v>
      </c>
      <c r="M173" s="89">
        <f t="shared" si="76"/>
        <v>1.4432</v>
      </c>
      <c r="N173" s="89">
        <f t="shared" si="76"/>
        <v>1513.8279119999995</v>
      </c>
      <c r="O173" s="89">
        <f t="shared" si="76"/>
        <v>2704.05</v>
      </c>
      <c r="P173" s="89">
        <f t="shared" si="76"/>
        <v>4217.877911999999</v>
      </c>
      <c r="Q173" s="89">
        <f t="shared" si="76"/>
        <v>125.1</v>
      </c>
      <c r="R173" s="89">
        <f t="shared" si="76"/>
        <v>0</v>
      </c>
      <c r="S173" s="89">
        <f t="shared" si="76"/>
        <v>583</v>
      </c>
      <c r="T173" s="89">
        <f t="shared" si="76"/>
        <v>0</v>
      </c>
      <c r="U173" s="89">
        <f t="shared" si="76"/>
        <v>0</v>
      </c>
      <c r="V173" s="89">
        <f t="shared" si="76"/>
        <v>37139.902088000003</v>
      </c>
      <c r="W173" s="89">
        <f t="shared" si="76"/>
        <v>34339.902087999995</v>
      </c>
      <c r="Y173" s="15">
        <f>+SUM(Y164:Y172)</f>
        <v>37139.902088000003</v>
      </c>
      <c r="Z173" s="15">
        <f>+SUM(Z164:Z172)</f>
        <v>34339.902087999995</v>
      </c>
    </row>
    <row r="174" spans="1:26" s="10" customFormat="1" x14ac:dyDescent="0.25">
      <c r="A174" s="34"/>
      <c r="B174" s="53"/>
      <c r="C174" s="169"/>
      <c r="D174" s="170"/>
      <c r="E174" s="234"/>
      <c r="F174" s="88"/>
      <c r="G174" s="88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Y174" s="14"/>
      <c r="Z174" s="14"/>
    </row>
    <row r="175" spans="1:26" s="10" customFormat="1" ht="18.75" x14ac:dyDescent="0.25">
      <c r="A175" s="277" t="s">
        <v>397</v>
      </c>
      <c r="B175" s="278"/>
      <c r="C175" s="278"/>
      <c r="D175" s="278"/>
      <c r="E175" s="278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9"/>
      <c r="Y175" s="14"/>
      <c r="Z175" s="14"/>
    </row>
    <row r="176" spans="1:26" s="10" customFormat="1" ht="35.25" customHeight="1" x14ac:dyDescent="0.25">
      <c r="A176" s="31" t="s">
        <v>69</v>
      </c>
      <c r="B176" s="52" t="s">
        <v>588</v>
      </c>
      <c r="C176" s="31" t="s">
        <v>17</v>
      </c>
      <c r="D176" s="31" t="s">
        <v>161</v>
      </c>
      <c r="E176" s="31" t="s">
        <v>143</v>
      </c>
      <c r="F176" s="31" t="s">
        <v>27</v>
      </c>
      <c r="G176" s="31" t="s">
        <v>19</v>
      </c>
      <c r="H176" s="31" t="s">
        <v>18</v>
      </c>
      <c r="I176" s="31" t="s">
        <v>66</v>
      </c>
      <c r="J176" s="31" t="s">
        <v>74</v>
      </c>
      <c r="K176" s="50" t="s">
        <v>301</v>
      </c>
      <c r="L176" s="50" t="s">
        <v>302</v>
      </c>
      <c r="M176" s="50" t="s">
        <v>303</v>
      </c>
      <c r="N176" s="50" t="s">
        <v>304</v>
      </c>
      <c r="O176" s="31" t="s">
        <v>305</v>
      </c>
      <c r="P176" s="31" t="s">
        <v>67</v>
      </c>
      <c r="Q176" s="31" t="s">
        <v>68</v>
      </c>
      <c r="R176" s="31" t="s">
        <v>20</v>
      </c>
      <c r="S176" s="31" t="s">
        <v>452</v>
      </c>
      <c r="T176" s="31" t="s">
        <v>72</v>
      </c>
      <c r="U176" s="31" t="s">
        <v>157</v>
      </c>
      <c r="V176" s="31" t="s">
        <v>155</v>
      </c>
      <c r="W176" s="31" t="s">
        <v>156</v>
      </c>
      <c r="Y176" s="14"/>
      <c r="Z176" s="14"/>
    </row>
    <row r="177" spans="1:26" s="10" customFormat="1" ht="22.5" x14ac:dyDescent="0.25">
      <c r="A177" s="32">
        <v>91</v>
      </c>
      <c r="B177" s="48">
        <v>2859735631</v>
      </c>
      <c r="C177" s="171" t="s">
        <v>2</v>
      </c>
      <c r="D177" s="16" t="s">
        <v>261</v>
      </c>
      <c r="E177" s="19" t="s">
        <v>207</v>
      </c>
      <c r="F177" s="67">
        <v>16</v>
      </c>
      <c r="G177" s="76">
        <v>594.66999999999996</v>
      </c>
      <c r="H177" s="76">
        <f t="shared" ref="H177:H185" si="77">F177*G177</f>
        <v>9514.7199999999993</v>
      </c>
      <c r="I177" s="76"/>
      <c r="J177" s="76"/>
      <c r="K177" s="76">
        <f>VLOOKUP($H$177,Tabisr,1)</f>
        <v>5081.01</v>
      </c>
      <c r="L177" s="72">
        <f t="shared" ref="L177:L185" si="78">+H177-K177</f>
        <v>4433.7099999999991</v>
      </c>
      <c r="M177" s="77">
        <f>VLOOKUP($H$177,Tabisr,4)</f>
        <v>0.21360000000000001</v>
      </c>
      <c r="N177" s="76">
        <f>(H177-5081.01)*21.36%</f>
        <v>947.04045599999972</v>
      </c>
      <c r="O177" s="76">
        <v>538.20000000000005</v>
      </c>
      <c r="P177" s="76">
        <f t="shared" ref="P177:P185" si="79">N177+O177</f>
        <v>1485.2404559999998</v>
      </c>
      <c r="Q177" s="76">
        <f>VLOOKUP($H$177,Tabsub,3)</f>
        <v>0</v>
      </c>
      <c r="R177" s="76"/>
      <c r="S177" s="76">
        <v>1667</v>
      </c>
      <c r="T177" s="76"/>
      <c r="U177" s="76"/>
      <c r="V177" s="72">
        <f t="shared" ref="V177:V183" si="80">H177+I177+J177-P177+Q177-R177-S177-T177-U177</f>
        <v>6362.4795439999998</v>
      </c>
      <c r="W177" s="72">
        <f t="shared" ref="W177:W183" si="81">V177-I177</f>
        <v>6362.4795439999998</v>
      </c>
      <c r="Y177" s="14">
        <f t="shared" ref="Y177:Y186" si="82">+H177+I177+J177+Q177-P177-R177-S177-T177-U177</f>
        <v>6362.4795439999998</v>
      </c>
      <c r="Z177" s="14">
        <f t="shared" ref="Z177:Z186" si="83">+V177-I177</f>
        <v>6362.4795439999998</v>
      </c>
    </row>
    <row r="178" spans="1:26" s="10" customFormat="1" x14ac:dyDescent="0.25">
      <c r="A178" s="32">
        <v>92</v>
      </c>
      <c r="B178" s="48">
        <v>1585781802</v>
      </c>
      <c r="C178" s="171" t="s">
        <v>49</v>
      </c>
      <c r="D178" s="19" t="s">
        <v>163</v>
      </c>
      <c r="E178" s="19" t="s">
        <v>128</v>
      </c>
      <c r="F178" s="67">
        <v>16</v>
      </c>
      <c r="G178" s="76">
        <v>250.29</v>
      </c>
      <c r="H178" s="76">
        <f t="shared" si="77"/>
        <v>4004.64</v>
      </c>
      <c r="I178" s="76">
        <v>400</v>
      </c>
      <c r="J178" s="76">
        <f>(250.29*1)</f>
        <v>250.29</v>
      </c>
      <c r="K178" s="76">
        <f>VLOOKUP($H$178,Tabisr,1)</f>
        <v>3651.01</v>
      </c>
      <c r="L178" s="72">
        <f t="shared" si="78"/>
        <v>353.62999999999965</v>
      </c>
      <c r="M178" s="77">
        <f>VLOOKUP($H$178,Tabisr,4)</f>
        <v>0.16</v>
      </c>
      <c r="N178" s="76">
        <f>(H178-3651.01)*16%+0.18</f>
        <v>56.760799999999946</v>
      </c>
      <c r="O178" s="76">
        <v>293.25</v>
      </c>
      <c r="P178" s="76">
        <v>309.77999999999997</v>
      </c>
      <c r="Q178" s="76">
        <f>VLOOKUP($H$178,Tabsub,3)</f>
        <v>0</v>
      </c>
      <c r="R178" s="76">
        <v>1350</v>
      </c>
      <c r="S178" s="76"/>
      <c r="T178" s="76"/>
      <c r="U178" s="76"/>
      <c r="V178" s="72">
        <f t="shared" si="80"/>
        <v>2995.1499999999996</v>
      </c>
      <c r="W178" s="72">
        <f t="shared" si="81"/>
        <v>2595.1499999999996</v>
      </c>
      <c r="Y178" s="14">
        <f t="shared" si="82"/>
        <v>2995.1499999999996</v>
      </c>
      <c r="Z178" s="14">
        <f t="shared" si="83"/>
        <v>2595.1499999999996</v>
      </c>
    </row>
    <row r="179" spans="1:26" s="10" customFormat="1" x14ac:dyDescent="0.25">
      <c r="A179" s="32">
        <v>93</v>
      </c>
      <c r="B179" s="48">
        <v>1585781810</v>
      </c>
      <c r="C179" s="171" t="s">
        <v>47</v>
      </c>
      <c r="D179" s="162" t="s">
        <v>180</v>
      </c>
      <c r="E179" s="162" t="s">
        <v>126</v>
      </c>
      <c r="F179" s="67">
        <v>16</v>
      </c>
      <c r="G179" s="68">
        <v>209.47</v>
      </c>
      <c r="H179" s="68">
        <f t="shared" si="77"/>
        <v>3351.52</v>
      </c>
      <c r="I179" s="68">
        <v>400</v>
      </c>
      <c r="J179" s="76"/>
      <c r="K179" s="68">
        <f>VLOOKUP($H$179,Tabisr,1)</f>
        <v>2077.5100000000002</v>
      </c>
      <c r="L179" s="70">
        <f t="shared" si="78"/>
        <v>1274.0099999999998</v>
      </c>
      <c r="M179" s="71">
        <f>VLOOKUP($H$179,Tabisr,4)</f>
        <v>0.10879999999999999</v>
      </c>
      <c r="N179" s="68">
        <f t="shared" ref="N179:N185" si="84">(H179-2077.51)*10.88%</f>
        <v>138.61228799999998</v>
      </c>
      <c r="O179" s="68">
        <v>121.95</v>
      </c>
      <c r="P179" s="68">
        <v>237.77</v>
      </c>
      <c r="Q179" s="68">
        <f t="shared" ref="Q179:Q185" si="85">VLOOKUP($H$179,Tabsub,3)</f>
        <v>125.1</v>
      </c>
      <c r="R179" s="68"/>
      <c r="S179" s="68">
        <v>1011</v>
      </c>
      <c r="T179" s="68"/>
      <c r="U179" s="76"/>
      <c r="V179" s="72">
        <f t="shared" si="80"/>
        <v>2627.85</v>
      </c>
      <c r="W179" s="70">
        <f t="shared" si="81"/>
        <v>2227.85</v>
      </c>
      <c r="Y179" s="14">
        <f t="shared" si="82"/>
        <v>2627.85</v>
      </c>
      <c r="Z179" s="14">
        <f t="shared" si="83"/>
        <v>2227.85</v>
      </c>
    </row>
    <row r="180" spans="1:26" s="10" customFormat="1" x14ac:dyDescent="0.25">
      <c r="A180" s="32">
        <v>94</v>
      </c>
      <c r="B180" s="48">
        <v>1585781828</v>
      </c>
      <c r="C180" s="171" t="s">
        <v>331</v>
      </c>
      <c r="D180" s="19" t="s">
        <v>180</v>
      </c>
      <c r="E180" s="19" t="s">
        <v>332</v>
      </c>
      <c r="F180" s="67">
        <v>16</v>
      </c>
      <c r="G180" s="76">
        <v>209.47</v>
      </c>
      <c r="H180" s="76">
        <f t="shared" si="77"/>
        <v>3351.52</v>
      </c>
      <c r="I180" s="76">
        <v>400</v>
      </c>
      <c r="J180" s="76"/>
      <c r="K180" s="76">
        <f>VLOOKUP($H$179,Tabisr,1)</f>
        <v>2077.5100000000002</v>
      </c>
      <c r="L180" s="72">
        <f t="shared" si="78"/>
        <v>1274.0099999999998</v>
      </c>
      <c r="M180" s="77">
        <f>VLOOKUP($H$179,Tabisr,4)</f>
        <v>0.10879999999999999</v>
      </c>
      <c r="N180" s="68">
        <f t="shared" si="84"/>
        <v>138.61228799999998</v>
      </c>
      <c r="O180" s="68">
        <v>121.95</v>
      </c>
      <c r="P180" s="68">
        <f t="shared" si="79"/>
        <v>260.56228799999997</v>
      </c>
      <c r="Q180" s="76">
        <f t="shared" si="85"/>
        <v>125.1</v>
      </c>
      <c r="R180" s="76">
        <v>1150</v>
      </c>
      <c r="S180" s="76"/>
      <c r="T180" s="76"/>
      <c r="U180" s="76"/>
      <c r="V180" s="72">
        <f t="shared" si="80"/>
        <v>2466.0577119999998</v>
      </c>
      <c r="W180" s="70">
        <f t="shared" si="81"/>
        <v>2066.0577119999998</v>
      </c>
      <c r="Y180" s="14">
        <f t="shared" si="82"/>
        <v>2466.0577119999998</v>
      </c>
      <c r="Z180" s="14">
        <f t="shared" si="83"/>
        <v>2066.0577119999998</v>
      </c>
    </row>
    <row r="181" spans="1:26" s="10" customFormat="1" x14ac:dyDescent="0.25">
      <c r="A181" s="32">
        <v>95</v>
      </c>
      <c r="B181" s="48">
        <v>1585781836</v>
      </c>
      <c r="C181" s="171" t="s">
        <v>319</v>
      </c>
      <c r="D181" s="162" t="s">
        <v>180</v>
      </c>
      <c r="E181" s="162" t="s">
        <v>324</v>
      </c>
      <c r="F181" s="67">
        <v>16</v>
      </c>
      <c r="G181" s="68">
        <v>209.47</v>
      </c>
      <c r="H181" s="68">
        <f t="shared" si="77"/>
        <v>3351.52</v>
      </c>
      <c r="I181" s="68">
        <v>400</v>
      </c>
      <c r="J181" s="76">
        <f>G181*2</f>
        <v>418.94</v>
      </c>
      <c r="K181" s="68">
        <f>VLOOKUP($H$179,Tabisr,1)</f>
        <v>2077.5100000000002</v>
      </c>
      <c r="L181" s="70">
        <f t="shared" si="78"/>
        <v>1274.0099999999998</v>
      </c>
      <c r="M181" s="71">
        <f>VLOOKUP($H$179,Tabisr,4)</f>
        <v>0.10879999999999999</v>
      </c>
      <c r="N181" s="68">
        <f t="shared" si="84"/>
        <v>138.61228799999998</v>
      </c>
      <c r="O181" s="68">
        <v>121.95</v>
      </c>
      <c r="P181" s="68">
        <f t="shared" si="79"/>
        <v>260.56228799999997</v>
      </c>
      <c r="Q181" s="68">
        <f t="shared" si="85"/>
        <v>125.1</v>
      </c>
      <c r="R181" s="68"/>
      <c r="S181" s="68"/>
      <c r="T181" s="68"/>
      <c r="U181" s="68"/>
      <c r="V181" s="72">
        <f t="shared" si="80"/>
        <v>4034.9977119999999</v>
      </c>
      <c r="W181" s="70">
        <f t="shared" si="81"/>
        <v>3634.9977119999999</v>
      </c>
      <c r="Y181" s="14">
        <f t="shared" si="82"/>
        <v>4034.9977120000003</v>
      </c>
      <c r="Z181" s="14">
        <f t="shared" si="83"/>
        <v>3634.9977119999999</v>
      </c>
    </row>
    <row r="182" spans="1:26" s="10" customFormat="1" x14ac:dyDescent="0.25">
      <c r="A182" s="32">
        <v>96</v>
      </c>
      <c r="B182" s="48">
        <v>1585781844</v>
      </c>
      <c r="C182" s="161" t="s">
        <v>320</v>
      </c>
      <c r="D182" s="162" t="s">
        <v>180</v>
      </c>
      <c r="E182" s="162" t="s">
        <v>321</v>
      </c>
      <c r="F182" s="67">
        <v>16</v>
      </c>
      <c r="G182" s="68">
        <v>209.47</v>
      </c>
      <c r="H182" s="68">
        <f>F182*G182</f>
        <v>3351.52</v>
      </c>
      <c r="I182" s="68">
        <v>400</v>
      </c>
      <c r="J182" s="76">
        <f>G182*2</f>
        <v>418.94</v>
      </c>
      <c r="K182" s="68" t="e">
        <f>VLOOKUP(#REF!,Tabisr,1)</f>
        <v>#REF!</v>
      </c>
      <c r="L182" s="70" t="e">
        <f>+H182-K182</f>
        <v>#REF!</v>
      </c>
      <c r="M182" s="71" t="e">
        <f>VLOOKUP(#REF!,Tabisr,4)</f>
        <v>#REF!</v>
      </c>
      <c r="N182" s="68">
        <f t="shared" si="84"/>
        <v>138.61228799999998</v>
      </c>
      <c r="O182" s="68">
        <v>121.95</v>
      </c>
      <c r="P182" s="68">
        <f>N182+O182</f>
        <v>260.56228799999997</v>
      </c>
      <c r="Q182" s="68">
        <f t="shared" si="85"/>
        <v>125.1</v>
      </c>
      <c r="R182" s="68"/>
      <c r="S182" s="68">
        <v>499</v>
      </c>
      <c r="T182" s="68"/>
      <c r="U182" s="68"/>
      <c r="V182" s="72">
        <f t="shared" si="80"/>
        <v>3535.9977119999999</v>
      </c>
      <c r="W182" s="70">
        <f t="shared" si="81"/>
        <v>3135.9977119999999</v>
      </c>
      <c r="Y182" s="14">
        <f t="shared" si="82"/>
        <v>3535.9977120000003</v>
      </c>
      <c r="Z182" s="14">
        <f t="shared" si="83"/>
        <v>3135.9977119999999</v>
      </c>
    </row>
    <row r="183" spans="1:26" s="10" customFormat="1" x14ac:dyDescent="0.25">
      <c r="A183" s="32">
        <v>97</v>
      </c>
      <c r="B183" s="48">
        <v>1585781854</v>
      </c>
      <c r="C183" s="161" t="s">
        <v>322</v>
      </c>
      <c r="D183" s="162" t="s">
        <v>180</v>
      </c>
      <c r="E183" s="162" t="s">
        <v>323</v>
      </c>
      <c r="F183" s="67">
        <v>16</v>
      </c>
      <c r="G183" s="68">
        <v>209.47</v>
      </c>
      <c r="H183" s="68">
        <f>F183*G183</f>
        <v>3351.52</v>
      </c>
      <c r="I183" s="68">
        <v>400</v>
      </c>
      <c r="J183" s="76"/>
      <c r="K183" s="68" t="e">
        <f>VLOOKUP(#REF!,Tabisr,1)</f>
        <v>#REF!</v>
      </c>
      <c r="L183" s="70" t="e">
        <f>+H183-K183</f>
        <v>#REF!</v>
      </c>
      <c r="M183" s="71" t="e">
        <f>VLOOKUP(#REF!,Tabisr,4)</f>
        <v>#REF!</v>
      </c>
      <c r="N183" s="68">
        <f t="shared" si="84"/>
        <v>138.61228799999998</v>
      </c>
      <c r="O183" s="68">
        <v>121.95</v>
      </c>
      <c r="P183" s="68">
        <f>N183+O183</f>
        <v>260.56228799999997</v>
      </c>
      <c r="Q183" s="68">
        <f t="shared" si="85"/>
        <v>125.1</v>
      </c>
      <c r="R183" s="68">
        <v>950</v>
      </c>
      <c r="S183" s="68"/>
      <c r="T183" s="68"/>
      <c r="U183" s="68"/>
      <c r="V183" s="72">
        <f t="shared" si="80"/>
        <v>2666.0577119999998</v>
      </c>
      <c r="W183" s="70">
        <f t="shared" si="81"/>
        <v>2266.0577119999998</v>
      </c>
      <c r="Y183" s="14">
        <f t="shared" si="82"/>
        <v>2666.0577119999998</v>
      </c>
      <c r="Z183" s="14">
        <f t="shared" si="83"/>
        <v>2266.0577119999998</v>
      </c>
    </row>
    <row r="184" spans="1:26" s="10" customFormat="1" x14ac:dyDescent="0.25">
      <c r="A184" s="32">
        <v>98</v>
      </c>
      <c r="B184" s="48">
        <v>1585781861</v>
      </c>
      <c r="C184" s="16" t="s">
        <v>658</v>
      </c>
      <c r="D184" s="19" t="s">
        <v>180</v>
      </c>
      <c r="E184" s="19" t="s">
        <v>610</v>
      </c>
      <c r="F184" s="67">
        <v>16</v>
      </c>
      <c r="G184" s="76">
        <v>209.47</v>
      </c>
      <c r="H184" s="68">
        <f>F184*G184</f>
        <v>3351.52</v>
      </c>
      <c r="I184" s="68">
        <v>400</v>
      </c>
      <c r="J184" s="76">
        <f>G184*2</f>
        <v>418.94</v>
      </c>
      <c r="K184" s="68" t="e">
        <f>VLOOKUP(#REF!,Tabisr,1)</f>
        <v>#REF!</v>
      </c>
      <c r="L184" s="70" t="e">
        <f>+H184-K184</f>
        <v>#REF!</v>
      </c>
      <c r="M184" s="71" t="e">
        <f>VLOOKUP(#REF!,Tabisr,4)</f>
        <v>#REF!</v>
      </c>
      <c r="N184" s="68">
        <f t="shared" ref="N184" si="86">(H184-2077.51)*10.88%</f>
        <v>138.61228799999998</v>
      </c>
      <c r="O184" s="68">
        <v>121.95</v>
      </c>
      <c r="P184" s="68">
        <f>N184+O184</f>
        <v>260.56228799999997</v>
      </c>
      <c r="Q184" s="68">
        <f t="shared" si="85"/>
        <v>125.1</v>
      </c>
      <c r="R184" s="68"/>
      <c r="S184" s="68"/>
      <c r="T184" s="68"/>
      <c r="U184" s="68"/>
      <c r="V184" s="72">
        <f t="shared" ref="V184" si="87">H184+I184+J184-P184+Q184-R184-S184-T184-U184</f>
        <v>4034.9977119999999</v>
      </c>
      <c r="W184" s="70">
        <f>V184-I184</f>
        <v>3634.9977119999999</v>
      </c>
      <c r="Y184" s="14">
        <f t="shared" si="82"/>
        <v>4034.9977120000003</v>
      </c>
      <c r="Z184" s="14">
        <f t="shared" si="83"/>
        <v>3634.9977119999999</v>
      </c>
    </row>
    <row r="185" spans="1:26" s="10" customFormat="1" x14ac:dyDescent="0.25">
      <c r="A185" s="32">
        <v>99</v>
      </c>
      <c r="B185" s="48">
        <v>1585781879</v>
      </c>
      <c r="C185" s="161" t="s">
        <v>48</v>
      </c>
      <c r="D185" s="162" t="s">
        <v>180</v>
      </c>
      <c r="E185" s="162" t="s">
        <v>127</v>
      </c>
      <c r="F185" s="67">
        <v>16</v>
      </c>
      <c r="G185" s="68">
        <v>209.47</v>
      </c>
      <c r="H185" s="68">
        <f t="shared" si="77"/>
        <v>3351.52</v>
      </c>
      <c r="I185" s="68">
        <v>400</v>
      </c>
      <c r="J185" s="68"/>
      <c r="K185" s="68">
        <f>VLOOKUP($H$185,Tabisr,1)</f>
        <v>2077.5100000000002</v>
      </c>
      <c r="L185" s="70">
        <f t="shared" si="78"/>
        <v>1274.0099999999998</v>
      </c>
      <c r="M185" s="71">
        <f>VLOOKUP($H$185,Tabisr,4)</f>
        <v>0.10879999999999999</v>
      </c>
      <c r="N185" s="68">
        <f t="shared" si="84"/>
        <v>138.61228799999998</v>
      </c>
      <c r="O185" s="68">
        <v>121.95</v>
      </c>
      <c r="P185" s="68">
        <f t="shared" si="79"/>
        <v>260.56228799999997</v>
      </c>
      <c r="Q185" s="68">
        <f t="shared" si="85"/>
        <v>125.1</v>
      </c>
      <c r="R185" s="68"/>
      <c r="S185" s="68"/>
      <c r="T185" s="68"/>
      <c r="U185" s="68"/>
      <c r="V185" s="72">
        <f>H185+I185+J185-P185+Q185-R185-S185-T185-U185</f>
        <v>3616.0577119999998</v>
      </c>
      <c r="W185" s="70">
        <f>V185-I185</f>
        <v>3216.0577119999998</v>
      </c>
      <c r="Y185" s="14">
        <f t="shared" si="82"/>
        <v>3616.0577119999998</v>
      </c>
      <c r="Z185" s="14">
        <f t="shared" si="83"/>
        <v>3216.0577119999998</v>
      </c>
    </row>
    <row r="186" spans="1:26" s="10" customFormat="1" x14ac:dyDescent="0.25">
      <c r="A186" s="34"/>
      <c r="B186" s="53"/>
      <c r="C186" s="176"/>
      <c r="D186" s="27"/>
      <c r="E186" s="27"/>
      <c r="F186" s="73"/>
      <c r="G186" s="74"/>
      <c r="H186" s="75">
        <f>+SUM(H177:H185)</f>
        <v>36979.999999999993</v>
      </c>
      <c r="I186" s="75">
        <f>+SUM(I177:I185)</f>
        <v>3200</v>
      </c>
      <c r="J186" s="75">
        <f t="shared" ref="J186:W186" si="88">+SUM(J177:J185)</f>
        <v>1507.1100000000001</v>
      </c>
      <c r="K186" s="75" t="e">
        <f t="shared" si="88"/>
        <v>#REF!</v>
      </c>
      <c r="L186" s="75" t="e">
        <f t="shared" si="88"/>
        <v>#REF!</v>
      </c>
      <c r="M186" s="75" t="e">
        <f t="shared" si="88"/>
        <v>#REF!</v>
      </c>
      <c r="N186" s="75">
        <f t="shared" si="88"/>
        <v>1974.0872719999998</v>
      </c>
      <c r="O186" s="75">
        <f t="shared" si="88"/>
        <v>1685.1000000000004</v>
      </c>
      <c r="P186" s="75">
        <f t="shared" si="88"/>
        <v>3596.1641840000002</v>
      </c>
      <c r="Q186" s="75">
        <f t="shared" si="88"/>
        <v>875.7</v>
      </c>
      <c r="R186" s="75">
        <f t="shared" si="88"/>
        <v>3450</v>
      </c>
      <c r="S186" s="75">
        <f t="shared" si="88"/>
        <v>3177</v>
      </c>
      <c r="T186" s="75">
        <f t="shared" si="88"/>
        <v>0</v>
      </c>
      <c r="U186" s="75">
        <f t="shared" si="88"/>
        <v>0</v>
      </c>
      <c r="V186" s="75">
        <f t="shared" si="88"/>
        <v>32339.645815999997</v>
      </c>
      <c r="W186" s="75">
        <f t="shared" si="88"/>
        <v>29139.645815999997</v>
      </c>
      <c r="Y186" s="15">
        <f t="shared" si="82"/>
        <v>32339.645815999989</v>
      </c>
      <c r="Z186" s="15">
        <f t="shared" si="83"/>
        <v>29139.645815999997</v>
      </c>
    </row>
    <row r="187" spans="1:26" s="10" customFormat="1" x14ac:dyDescent="0.25">
      <c r="A187" s="34"/>
      <c r="B187" s="53"/>
      <c r="C187" s="177"/>
      <c r="D187" s="170"/>
      <c r="E187" s="234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104"/>
      <c r="W187" s="88"/>
      <c r="Y187" s="14"/>
      <c r="Z187" s="14"/>
    </row>
    <row r="188" spans="1:26" s="10" customFormat="1" x14ac:dyDescent="0.25">
      <c r="A188" s="34"/>
      <c r="B188" s="53"/>
      <c r="C188" s="169"/>
      <c r="D188" s="170"/>
      <c r="E188" s="234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Y188" s="14"/>
      <c r="Z188" s="14"/>
    </row>
    <row r="189" spans="1:26" s="10" customFormat="1" ht="18.75" x14ac:dyDescent="0.25">
      <c r="A189" s="277" t="s">
        <v>642</v>
      </c>
      <c r="B189" s="278"/>
      <c r="C189" s="278"/>
      <c r="D189" s="278"/>
      <c r="E189" s="278"/>
      <c r="F189" s="278"/>
      <c r="G189" s="278"/>
      <c r="H189" s="278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9"/>
      <c r="Y189" s="14"/>
      <c r="Z189" s="14"/>
    </row>
    <row r="190" spans="1:26" s="10" customFormat="1" ht="37.5" customHeight="1" x14ac:dyDescent="0.25">
      <c r="A190" s="31" t="s">
        <v>69</v>
      </c>
      <c r="B190" s="52" t="s">
        <v>588</v>
      </c>
      <c r="C190" s="31" t="s">
        <v>17</v>
      </c>
      <c r="D190" s="31" t="s">
        <v>161</v>
      </c>
      <c r="E190" s="31" t="s">
        <v>143</v>
      </c>
      <c r="F190" s="31" t="s">
        <v>27</v>
      </c>
      <c r="G190" s="31" t="s">
        <v>19</v>
      </c>
      <c r="H190" s="31" t="s">
        <v>18</v>
      </c>
      <c r="I190" s="31" t="s">
        <v>66</v>
      </c>
      <c r="J190" s="31" t="s">
        <v>74</v>
      </c>
      <c r="K190" s="50" t="s">
        <v>301</v>
      </c>
      <c r="L190" s="50" t="s">
        <v>302</v>
      </c>
      <c r="M190" s="50" t="s">
        <v>303</v>
      </c>
      <c r="N190" s="50" t="s">
        <v>304</v>
      </c>
      <c r="O190" s="31" t="s">
        <v>305</v>
      </c>
      <c r="P190" s="31" t="s">
        <v>67</v>
      </c>
      <c r="Q190" s="31" t="s">
        <v>68</v>
      </c>
      <c r="R190" s="31" t="s">
        <v>20</v>
      </c>
      <c r="S190" s="31" t="s">
        <v>452</v>
      </c>
      <c r="T190" s="31" t="s">
        <v>72</v>
      </c>
      <c r="U190" s="31" t="s">
        <v>157</v>
      </c>
      <c r="V190" s="31" t="s">
        <v>155</v>
      </c>
      <c r="W190" s="31" t="s">
        <v>156</v>
      </c>
      <c r="Y190" s="14"/>
      <c r="Z190" s="14"/>
    </row>
    <row r="191" spans="1:26" s="10" customFormat="1" x14ac:dyDescent="0.25">
      <c r="A191" s="32">
        <v>100</v>
      </c>
      <c r="B191" s="48">
        <v>1585781887</v>
      </c>
      <c r="C191" s="171" t="s">
        <v>0</v>
      </c>
      <c r="D191" s="16" t="s">
        <v>311</v>
      </c>
      <c r="E191" s="19" t="s">
        <v>97</v>
      </c>
      <c r="F191" s="67">
        <v>16</v>
      </c>
      <c r="G191" s="76">
        <v>594.66999999999996</v>
      </c>
      <c r="H191" s="76">
        <f>F191*G191</f>
        <v>9514.7199999999993</v>
      </c>
      <c r="I191" s="76"/>
      <c r="J191" s="32"/>
      <c r="K191" s="76">
        <f>VLOOKUP($H$191,Tabisr,1)</f>
        <v>5081.01</v>
      </c>
      <c r="L191" s="72">
        <f t="shared" ref="L191:L206" si="89">+H191-K191</f>
        <v>4433.7099999999991</v>
      </c>
      <c r="M191" s="77">
        <f>VLOOKUP($H$191,Tabisr,4)</f>
        <v>0.21360000000000001</v>
      </c>
      <c r="N191" s="76">
        <f>(H191-5081.01)*21.36%</f>
        <v>947.04045599999972</v>
      </c>
      <c r="O191" s="76">
        <v>538.20000000000005</v>
      </c>
      <c r="P191" s="76">
        <f>N191+O191</f>
        <v>1485.2404559999998</v>
      </c>
      <c r="Q191" s="76">
        <f>VLOOKUP($H$191,Tabsub,3)</f>
        <v>0</v>
      </c>
      <c r="R191" s="76"/>
      <c r="S191" s="76"/>
      <c r="T191" s="76"/>
      <c r="U191" s="76"/>
      <c r="V191" s="72">
        <f t="shared" ref="V191:V200" si="90">H191+I191+J191-P191+Q191-R191-S191-T191-U191</f>
        <v>8029.4795439999998</v>
      </c>
      <c r="W191" s="72">
        <f t="shared" ref="W191:W200" si="91">V191-I191</f>
        <v>8029.4795439999998</v>
      </c>
      <c r="Y191" s="14">
        <f t="shared" ref="Y191:Y207" si="92">+H191+I191+J191+Q191-P191-R191-S191-T191-U191</f>
        <v>8029.4795439999998</v>
      </c>
      <c r="Z191" s="14">
        <f t="shared" ref="Z191:Z207" si="93">+V191-I191</f>
        <v>8029.4795439999998</v>
      </c>
    </row>
    <row r="192" spans="1:26" s="10" customFormat="1" ht="22.5" x14ac:dyDescent="0.25">
      <c r="A192" s="32">
        <v>101</v>
      </c>
      <c r="B192" s="178">
        <v>1518851045</v>
      </c>
      <c r="C192" s="171" t="s">
        <v>199</v>
      </c>
      <c r="D192" s="16" t="s">
        <v>372</v>
      </c>
      <c r="E192" s="19" t="s">
        <v>266</v>
      </c>
      <c r="F192" s="67">
        <v>16</v>
      </c>
      <c r="G192" s="76">
        <v>393.95</v>
      </c>
      <c r="H192" s="76">
        <f>F192*G192</f>
        <v>6303.2</v>
      </c>
      <c r="I192" s="76">
        <v>400</v>
      </c>
      <c r="J192" s="32"/>
      <c r="K192" s="76">
        <f>VLOOKUP($H$206,Tabisr,1)</f>
        <v>5081.01</v>
      </c>
      <c r="L192" s="72">
        <f t="shared" si="89"/>
        <v>1222.1899999999996</v>
      </c>
      <c r="M192" s="77">
        <f>VLOOKUP($H$206,Tabisr,4)</f>
        <v>0.21360000000000001</v>
      </c>
      <c r="N192" s="76">
        <f>+L192*M192</f>
        <v>261.05978399999992</v>
      </c>
      <c r="O192" s="76">
        <f>VLOOKUP($H$206,Tabisr,3)</f>
        <v>538.20000000000005</v>
      </c>
      <c r="P192" s="64">
        <f>+N192+O192</f>
        <v>799.25978399999997</v>
      </c>
      <c r="Q192" s="76"/>
      <c r="R192" s="76"/>
      <c r="S192" s="76"/>
      <c r="T192" s="76"/>
      <c r="U192" s="76"/>
      <c r="V192" s="72">
        <f t="shared" si="90"/>
        <v>5903.940216</v>
      </c>
      <c r="W192" s="72">
        <f t="shared" si="91"/>
        <v>5503.940216</v>
      </c>
      <c r="Y192" s="14">
        <f t="shared" si="92"/>
        <v>5903.940216</v>
      </c>
      <c r="Z192" s="14">
        <f t="shared" si="93"/>
        <v>5503.940216</v>
      </c>
    </row>
    <row r="193" spans="1:26" s="10" customFormat="1" ht="22.5" x14ac:dyDescent="0.25">
      <c r="A193" s="39">
        <v>102</v>
      </c>
      <c r="B193" s="56"/>
      <c r="C193" s="179" t="s">
        <v>195</v>
      </c>
      <c r="D193" s="179" t="s">
        <v>509</v>
      </c>
      <c r="E193" s="202" t="s">
        <v>247</v>
      </c>
      <c r="F193" s="94">
        <v>16</v>
      </c>
      <c r="G193" s="96">
        <v>393.95</v>
      </c>
      <c r="H193" s="96">
        <f>F193*G193</f>
        <v>6303.2</v>
      </c>
      <c r="I193" s="96">
        <v>400</v>
      </c>
      <c r="J193" s="108"/>
      <c r="K193" s="96">
        <f>VLOOKUP($H$206,Tabisr,1)</f>
        <v>5081.01</v>
      </c>
      <c r="L193" s="109">
        <f>+H193-K193</f>
        <v>1222.1899999999996</v>
      </c>
      <c r="M193" s="110">
        <f>VLOOKUP($H$206,Tabisr,4)</f>
        <v>0.21360000000000001</v>
      </c>
      <c r="N193" s="96">
        <f>+L193*M193</f>
        <v>261.05978399999992</v>
      </c>
      <c r="O193" s="96">
        <f>VLOOKUP($H$206,Tabisr,3)</f>
        <v>538.20000000000005</v>
      </c>
      <c r="P193" s="96">
        <f>+N193+O193</f>
        <v>799.25978399999997</v>
      </c>
      <c r="Q193" s="96"/>
      <c r="R193" s="96"/>
      <c r="S193" s="96"/>
      <c r="T193" s="96">
        <v>20</v>
      </c>
      <c r="U193" s="96"/>
      <c r="V193" s="109">
        <f t="shared" si="90"/>
        <v>5883.940216</v>
      </c>
      <c r="W193" s="109">
        <f t="shared" si="91"/>
        <v>5483.940216</v>
      </c>
      <c r="Y193" s="14">
        <f t="shared" si="92"/>
        <v>5883.940216</v>
      </c>
      <c r="Z193" s="14">
        <f t="shared" si="93"/>
        <v>5483.940216</v>
      </c>
    </row>
    <row r="194" spans="1:26" s="10" customFormat="1" x14ac:dyDescent="0.25">
      <c r="A194" s="32">
        <v>103</v>
      </c>
      <c r="B194" s="48">
        <v>1585781895</v>
      </c>
      <c r="C194" s="180" t="s">
        <v>30</v>
      </c>
      <c r="D194" s="162" t="s">
        <v>163</v>
      </c>
      <c r="E194" s="162" t="s">
        <v>101</v>
      </c>
      <c r="F194" s="67">
        <v>16</v>
      </c>
      <c r="G194" s="68">
        <v>250.29</v>
      </c>
      <c r="H194" s="68">
        <f>F194*G194</f>
        <v>4004.64</v>
      </c>
      <c r="I194" s="68">
        <v>400</v>
      </c>
      <c r="J194" s="113"/>
      <c r="K194" s="68">
        <f>VLOOKUP($H$194,Tabisr,1)</f>
        <v>3651.01</v>
      </c>
      <c r="L194" s="70">
        <f t="shared" si="89"/>
        <v>353.62999999999965</v>
      </c>
      <c r="M194" s="71">
        <f>VLOOKUP($H$194,Tabisr,4)</f>
        <v>0.16</v>
      </c>
      <c r="N194" s="68">
        <f>(H194-3651.01)*16%</f>
        <v>56.580799999999947</v>
      </c>
      <c r="O194" s="68">
        <v>293.25</v>
      </c>
      <c r="P194" s="68">
        <f t="shared" ref="P194:P205" si="94">N194+O194</f>
        <v>349.83079999999995</v>
      </c>
      <c r="Q194" s="68">
        <f>VLOOKUP($H$194,Tabsub,3)</f>
        <v>0</v>
      </c>
      <c r="R194" s="68">
        <v>1050</v>
      </c>
      <c r="S194" s="68"/>
      <c r="T194" s="68"/>
      <c r="U194" s="68"/>
      <c r="V194" s="72">
        <f t="shared" si="90"/>
        <v>3004.8091999999997</v>
      </c>
      <c r="W194" s="70">
        <f t="shared" si="91"/>
        <v>2604.8091999999997</v>
      </c>
      <c r="Y194" s="14">
        <f t="shared" si="92"/>
        <v>3004.8091999999997</v>
      </c>
      <c r="Z194" s="14">
        <f t="shared" si="93"/>
        <v>2604.8091999999997</v>
      </c>
    </row>
    <row r="195" spans="1:26" s="10" customFormat="1" x14ac:dyDescent="0.25">
      <c r="A195" s="32">
        <v>104</v>
      </c>
      <c r="B195" s="48">
        <v>1585781950</v>
      </c>
      <c r="C195" s="16" t="s">
        <v>350</v>
      </c>
      <c r="D195" s="16" t="s">
        <v>163</v>
      </c>
      <c r="E195" s="158" t="s">
        <v>351</v>
      </c>
      <c r="F195" s="67">
        <v>16</v>
      </c>
      <c r="G195" s="91">
        <v>250.29</v>
      </c>
      <c r="H195" s="76">
        <f>F195*G195</f>
        <v>4004.64</v>
      </c>
      <c r="I195" s="76">
        <v>400</v>
      </c>
      <c r="J195" s="32"/>
      <c r="K195" s="76">
        <f>VLOOKUP($H$28,Tabisr,1)</f>
        <v>3651.01</v>
      </c>
      <c r="L195" s="72">
        <f>+H195-K195</f>
        <v>353.62999999999965</v>
      </c>
      <c r="M195" s="77">
        <f>VLOOKUP($H$28,Tabisr,4)</f>
        <v>0.16</v>
      </c>
      <c r="N195" s="76">
        <f>(H195-3651.01)*16%</f>
        <v>56.580799999999947</v>
      </c>
      <c r="O195" s="76">
        <v>293.25</v>
      </c>
      <c r="P195" s="76">
        <f>O195+N195</f>
        <v>349.83079999999995</v>
      </c>
      <c r="Q195" s="105"/>
      <c r="R195" s="105"/>
      <c r="S195" s="105"/>
      <c r="T195" s="105"/>
      <c r="U195" s="105"/>
      <c r="V195" s="72">
        <f t="shared" si="90"/>
        <v>4054.8091999999997</v>
      </c>
      <c r="W195" s="106">
        <f t="shared" si="91"/>
        <v>3654.8091999999997</v>
      </c>
      <c r="Y195" s="14">
        <f t="shared" si="92"/>
        <v>4054.8091999999997</v>
      </c>
      <c r="Z195" s="14">
        <f t="shared" si="93"/>
        <v>3654.8091999999997</v>
      </c>
    </row>
    <row r="196" spans="1:26" s="10" customFormat="1" x14ac:dyDescent="0.25">
      <c r="A196" s="32">
        <v>105</v>
      </c>
      <c r="B196" s="48">
        <v>1585781909</v>
      </c>
      <c r="C196" s="180" t="s">
        <v>670</v>
      </c>
      <c r="D196" s="181" t="s">
        <v>185</v>
      </c>
      <c r="E196" s="162" t="s">
        <v>475</v>
      </c>
      <c r="F196" s="67">
        <v>16</v>
      </c>
      <c r="G196" s="100">
        <v>340.43</v>
      </c>
      <c r="H196" s="68">
        <f t="shared" ref="H196:H206" si="95">F196*G196</f>
        <v>5446.88</v>
      </c>
      <c r="I196" s="68">
        <v>400</v>
      </c>
      <c r="J196" s="70"/>
      <c r="K196" s="68">
        <f>VLOOKUP($H$196,Tabisr,1)</f>
        <v>5081.01</v>
      </c>
      <c r="L196" s="70">
        <f t="shared" si="89"/>
        <v>365.86999999999989</v>
      </c>
      <c r="M196" s="71">
        <f>VLOOKUP($H$196,Tabisr,4)</f>
        <v>0.21360000000000001</v>
      </c>
      <c r="N196" s="68">
        <f>(H196-5081.011)*21.36%</f>
        <v>78.149618399999923</v>
      </c>
      <c r="O196" s="76">
        <v>538.20000000000005</v>
      </c>
      <c r="P196" s="68">
        <f t="shared" si="94"/>
        <v>616.34961839999994</v>
      </c>
      <c r="Q196" s="68">
        <f>VLOOKUP($H$196,Tabsub,3)</f>
        <v>0</v>
      </c>
      <c r="R196" s="68"/>
      <c r="S196" s="68"/>
      <c r="T196" s="68"/>
      <c r="U196" s="68"/>
      <c r="V196" s="72">
        <f t="shared" si="90"/>
        <v>5230.5303816000005</v>
      </c>
      <c r="W196" s="70">
        <f t="shared" si="91"/>
        <v>4830.5303816000005</v>
      </c>
      <c r="Y196" s="14">
        <f t="shared" si="92"/>
        <v>5230.5303816000005</v>
      </c>
      <c r="Z196" s="14">
        <f t="shared" si="93"/>
        <v>4830.5303816000005</v>
      </c>
    </row>
    <row r="197" spans="1:26" s="10" customFormat="1" x14ac:dyDescent="0.25">
      <c r="A197" s="32">
        <v>106</v>
      </c>
      <c r="B197" s="48">
        <v>1585781942</v>
      </c>
      <c r="C197" s="16" t="s">
        <v>614</v>
      </c>
      <c r="D197" s="19" t="s">
        <v>185</v>
      </c>
      <c r="E197" s="19" t="s">
        <v>615</v>
      </c>
      <c r="F197" s="67">
        <v>16</v>
      </c>
      <c r="G197" s="107">
        <v>340.43</v>
      </c>
      <c r="H197" s="76">
        <f>F197*G197</f>
        <v>5446.88</v>
      </c>
      <c r="I197" s="76">
        <v>400</v>
      </c>
      <c r="J197" s="72"/>
      <c r="K197" s="76">
        <f>VLOOKUP($H$196,Tabisr,1)</f>
        <v>5081.01</v>
      </c>
      <c r="L197" s="72">
        <f>+H197-K197</f>
        <v>365.86999999999989</v>
      </c>
      <c r="M197" s="77">
        <f>VLOOKUP($H$196,Tabisr,4)</f>
        <v>0.21360000000000001</v>
      </c>
      <c r="N197" s="76">
        <f>(H197-5081.011)*21.36%</f>
        <v>78.149618399999923</v>
      </c>
      <c r="O197" s="76">
        <v>538.20000000000005</v>
      </c>
      <c r="P197" s="76">
        <f>N197+O197</f>
        <v>616.34961839999994</v>
      </c>
      <c r="Q197" s="76">
        <f>VLOOKUP($H$196,Tabsub,3)</f>
        <v>0</v>
      </c>
      <c r="R197" s="76"/>
      <c r="S197" s="76"/>
      <c r="T197" s="76"/>
      <c r="U197" s="76"/>
      <c r="V197" s="72">
        <f t="shared" si="90"/>
        <v>5230.5303816000005</v>
      </c>
      <c r="W197" s="72">
        <f t="shared" si="91"/>
        <v>4830.5303816000005</v>
      </c>
      <c r="Y197" s="14">
        <f t="shared" si="92"/>
        <v>5230.5303816000005</v>
      </c>
      <c r="Z197" s="14">
        <f t="shared" si="93"/>
        <v>4830.5303816000005</v>
      </c>
    </row>
    <row r="198" spans="1:26" s="10" customFormat="1" x14ac:dyDescent="0.25">
      <c r="A198" s="32">
        <v>107</v>
      </c>
      <c r="B198" s="48">
        <v>2776321127</v>
      </c>
      <c r="C198" s="16" t="s">
        <v>517</v>
      </c>
      <c r="D198" s="16" t="s">
        <v>185</v>
      </c>
      <c r="E198" s="19" t="s">
        <v>518</v>
      </c>
      <c r="F198" s="67">
        <v>16</v>
      </c>
      <c r="G198" s="100">
        <v>340.43</v>
      </c>
      <c r="H198" s="68">
        <f>F198*G198</f>
        <v>5446.88</v>
      </c>
      <c r="I198" s="68">
        <v>400</v>
      </c>
      <c r="J198" s="70"/>
      <c r="K198" s="68">
        <f>VLOOKUP($H$196,Tabisr,1)</f>
        <v>5081.01</v>
      </c>
      <c r="L198" s="70">
        <f>+H198-K198</f>
        <v>365.86999999999989</v>
      </c>
      <c r="M198" s="71">
        <f>VLOOKUP($H$196,Tabisr,4)</f>
        <v>0.21360000000000001</v>
      </c>
      <c r="N198" s="68">
        <f>(H198-5081.011)*21.36%</f>
        <v>78.149618399999923</v>
      </c>
      <c r="O198" s="76">
        <v>538.20000000000005</v>
      </c>
      <c r="P198" s="68">
        <f>N198+O198</f>
        <v>616.34961839999994</v>
      </c>
      <c r="Q198" s="68">
        <f>VLOOKUP($H$196,Tabsub,3)</f>
        <v>0</v>
      </c>
      <c r="R198" s="68"/>
      <c r="S198" s="68"/>
      <c r="T198" s="68"/>
      <c r="U198" s="68"/>
      <c r="V198" s="72">
        <f t="shared" si="90"/>
        <v>5230.5303816000005</v>
      </c>
      <c r="W198" s="70">
        <f t="shared" si="91"/>
        <v>4830.5303816000005</v>
      </c>
      <c r="Y198" s="14">
        <f t="shared" si="92"/>
        <v>5230.5303816000005</v>
      </c>
      <c r="Z198" s="14">
        <f t="shared" si="93"/>
        <v>4830.5303816000005</v>
      </c>
    </row>
    <row r="199" spans="1:26" s="10" customFormat="1" x14ac:dyDescent="0.25">
      <c r="A199" s="32">
        <v>108</v>
      </c>
      <c r="B199" s="48">
        <v>1585781968</v>
      </c>
      <c r="C199" s="171" t="s">
        <v>200</v>
      </c>
      <c r="D199" s="28" t="s">
        <v>185</v>
      </c>
      <c r="E199" s="19" t="s">
        <v>102</v>
      </c>
      <c r="F199" s="67">
        <v>16</v>
      </c>
      <c r="G199" s="107">
        <v>340.43</v>
      </c>
      <c r="H199" s="76">
        <f>F199*G199</f>
        <v>5446.88</v>
      </c>
      <c r="I199" s="76">
        <v>400</v>
      </c>
      <c r="J199" s="32"/>
      <c r="K199" s="76">
        <f>VLOOKUP($H$196,Tabisr,1)</f>
        <v>5081.01</v>
      </c>
      <c r="L199" s="72">
        <f>+H199-K199</f>
        <v>365.86999999999989</v>
      </c>
      <c r="M199" s="77">
        <f>VLOOKUP($H$196,Tabisr,4)</f>
        <v>0.21360000000000001</v>
      </c>
      <c r="N199" s="76">
        <f>(H199-5081.011)*21.36%</f>
        <v>78.149618399999923</v>
      </c>
      <c r="O199" s="76">
        <v>538.20000000000005</v>
      </c>
      <c r="P199" s="76">
        <f>N199+O199</f>
        <v>616.34961839999994</v>
      </c>
      <c r="Q199" s="76">
        <f>VLOOKUP($H$196,Tabsub,3)</f>
        <v>0</v>
      </c>
      <c r="R199" s="76"/>
      <c r="S199" s="76"/>
      <c r="T199" s="76"/>
      <c r="U199" s="76"/>
      <c r="V199" s="72">
        <f t="shared" si="90"/>
        <v>5230.5303816000005</v>
      </c>
      <c r="W199" s="72">
        <f t="shared" si="91"/>
        <v>4830.5303816000005</v>
      </c>
      <c r="Y199" s="14">
        <f t="shared" si="92"/>
        <v>5230.5303816000005</v>
      </c>
      <c r="Z199" s="14">
        <f t="shared" si="93"/>
        <v>4830.5303816000005</v>
      </c>
    </row>
    <row r="200" spans="1:26" s="10" customFormat="1" x14ac:dyDescent="0.25">
      <c r="A200" s="32">
        <v>109</v>
      </c>
      <c r="B200" s="48">
        <v>1585781976</v>
      </c>
      <c r="C200" s="171" t="s">
        <v>499</v>
      </c>
      <c r="D200" s="16" t="s">
        <v>186</v>
      </c>
      <c r="E200" s="19" t="s">
        <v>500</v>
      </c>
      <c r="F200" s="67">
        <v>16</v>
      </c>
      <c r="G200" s="76">
        <v>250.29</v>
      </c>
      <c r="H200" s="68">
        <f>F200*G200</f>
        <v>4004.64</v>
      </c>
      <c r="I200" s="68">
        <v>400</v>
      </c>
      <c r="J200" s="68"/>
      <c r="K200" s="68">
        <f>VLOOKUP($H$292,Tabisr,1)</f>
        <v>3651.01</v>
      </c>
      <c r="L200" s="70">
        <f>+H200-K200</f>
        <v>353.62999999999965</v>
      </c>
      <c r="M200" s="71">
        <f>VLOOKUP($H$292,Tabisr,4)</f>
        <v>0.16</v>
      </c>
      <c r="N200" s="68">
        <f>(H200-3651.01)*16%</f>
        <v>56.580799999999947</v>
      </c>
      <c r="O200" s="68">
        <v>293.25</v>
      </c>
      <c r="P200" s="68">
        <f>N200+O200</f>
        <v>349.83079999999995</v>
      </c>
      <c r="Q200" s="68"/>
      <c r="R200" s="64"/>
      <c r="S200" s="64"/>
      <c r="T200" s="69"/>
      <c r="U200" s="69"/>
      <c r="V200" s="72">
        <f t="shared" si="90"/>
        <v>4054.8091999999997</v>
      </c>
      <c r="W200" s="70">
        <f t="shared" si="91"/>
        <v>3654.8091999999997</v>
      </c>
      <c r="Y200" s="14">
        <f t="shared" si="92"/>
        <v>4054.8091999999997</v>
      </c>
      <c r="Z200" s="14">
        <f t="shared" si="93"/>
        <v>3654.8091999999997</v>
      </c>
    </row>
    <row r="201" spans="1:26" s="10" customFormat="1" x14ac:dyDescent="0.25">
      <c r="A201" s="38">
        <v>110</v>
      </c>
      <c r="B201" s="54"/>
      <c r="C201" s="165" t="s">
        <v>458</v>
      </c>
      <c r="D201" s="23" t="s">
        <v>186</v>
      </c>
      <c r="E201" s="204"/>
      <c r="F201" s="82"/>
      <c r="G201" s="111"/>
      <c r="H201" s="83"/>
      <c r="I201" s="83"/>
      <c r="J201" s="83"/>
      <c r="K201" s="83"/>
      <c r="L201" s="85"/>
      <c r="M201" s="86"/>
      <c r="N201" s="83"/>
      <c r="O201" s="83"/>
      <c r="P201" s="83"/>
      <c r="Q201" s="83"/>
      <c r="R201" s="84"/>
      <c r="S201" s="84"/>
      <c r="T201" s="112"/>
      <c r="U201" s="112"/>
      <c r="V201" s="85"/>
      <c r="W201" s="85"/>
      <c r="Y201" s="14">
        <f t="shared" si="92"/>
        <v>0</v>
      </c>
      <c r="Z201" s="14">
        <f t="shared" si="93"/>
        <v>0</v>
      </c>
    </row>
    <row r="202" spans="1:26" s="10" customFormat="1" x14ac:dyDescent="0.25">
      <c r="A202" s="32">
        <v>111</v>
      </c>
      <c r="B202" s="48">
        <v>2860876704</v>
      </c>
      <c r="C202" s="16" t="s">
        <v>31</v>
      </c>
      <c r="D202" s="161" t="s">
        <v>367</v>
      </c>
      <c r="E202" s="203" t="s">
        <v>210</v>
      </c>
      <c r="F202" s="67">
        <v>16</v>
      </c>
      <c r="G202" s="76">
        <v>296.54000000000002</v>
      </c>
      <c r="H202" s="76">
        <f t="shared" si="95"/>
        <v>4744.6400000000003</v>
      </c>
      <c r="I202" s="64">
        <v>400</v>
      </c>
      <c r="J202" s="64"/>
      <c r="K202" s="76">
        <f>VLOOKUP($H$90,Tabisr,1)</f>
        <v>5081.01</v>
      </c>
      <c r="L202" s="72">
        <f t="shared" si="89"/>
        <v>-336.36999999999989</v>
      </c>
      <c r="M202" s="77">
        <f>VLOOKUP($H$90,Tabisr,4)</f>
        <v>0.21360000000000001</v>
      </c>
      <c r="N202" s="68">
        <f>(H202-4244.01)*17.92%</f>
        <v>89.712896000000029</v>
      </c>
      <c r="O202" s="76">
        <v>388.05</v>
      </c>
      <c r="P202" s="68">
        <f t="shared" si="94"/>
        <v>477.76289600000007</v>
      </c>
      <c r="Q202" s="114"/>
      <c r="R202" s="114"/>
      <c r="S202" s="114"/>
      <c r="T202" s="114"/>
      <c r="U202" s="114"/>
      <c r="V202" s="72">
        <f>H202+I202+J202-P202+Q202-R202-S202-T202-U202</f>
        <v>4666.8771040000001</v>
      </c>
      <c r="W202" s="70">
        <f>V202-I202</f>
        <v>4266.8771040000001</v>
      </c>
      <c r="Y202" s="14">
        <f t="shared" si="92"/>
        <v>4666.8771040000001</v>
      </c>
      <c r="Z202" s="14">
        <f t="shared" si="93"/>
        <v>4266.8771040000001</v>
      </c>
    </row>
    <row r="203" spans="1:26" s="10" customFormat="1" x14ac:dyDescent="0.25">
      <c r="A203" s="32">
        <v>112</v>
      </c>
      <c r="B203" s="48">
        <v>1585781917</v>
      </c>
      <c r="C203" s="16" t="s">
        <v>40</v>
      </c>
      <c r="D203" s="162" t="s">
        <v>409</v>
      </c>
      <c r="E203" s="162" t="s">
        <v>113</v>
      </c>
      <c r="F203" s="67">
        <v>16</v>
      </c>
      <c r="G203" s="99">
        <v>250.29</v>
      </c>
      <c r="H203" s="68">
        <f t="shared" si="95"/>
        <v>4004.64</v>
      </c>
      <c r="I203" s="68">
        <v>400</v>
      </c>
      <c r="J203" s="33"/>
      <c r="K203" s="68">
        <f>VLOOKUP($H$28,Tabisr,1)</f>
        <v>3651.01</v>
      </c>
      <c r="L203" s="70">
        <f t="shared" si="89"/>
        <v>353.62999999999965</v>
      </c>
      <c r="M203" s="71">
        <f>VLOOKUP($H$28,Tabisr,4)</f>
        <v>0.16</v>
      </c>
      <c r="N203" s="68">
        <f>(H203-3651.01)*16%</f>
        <v>56.580799999999947</v>
      </c>
      <c r="O203" s="68">
        <v>293.25</v>
      </c>
      <c r="P203" s="68">
        <f t="shared" si="94"/>
        <v>349.83079999999995</v>
      </c>
      <c r="Q203" s="68">
        <v>0</v>
      </c>
      <c r="R203" s="68"/>
      <c r="S203" s="68"/>
      <c r="T203" s="68"/>
      <c r="U203" s="68"/>
      <c r="V203" s="72">
        <f>H203+I203+J203-P203+Q203-R203-S203-T203-U203</f>
        <v>4054.8091999999997</v>
      </c>
      <c r="W203" s="70">
        <f>V203-I203</f>
        <v>3654.8091999999997</v>
      </c>
      <c r="Y203" s="14">
        <f t="shared" si="92"/>
        <v>4054.8091999999997</v>
      </c>
      <c r="Z203" s="14">
        <f t="shared" si="93"/>
        <v>3654.8091999999997</v>
      </c>
    </row>
    <row r="204" spans="1:26" s="10" customFormat="1" x14ac:dyDescent="0.25">
      <c r="A204" s="32">
        <v>113</v>
      </c>
      <c r="B204" s="48">
        <v>1585781925</v>
      </c>
      <c r="C204" s="16" t="s">
        <v>42</v>
      </c>
      <c r="D204" s="162" t="s">
        <v>366</v>
      </c>
      <c r="E204" s="162" t="s">
        <v>115</v>
      </c>
      <c r="F204" s="67">
        <v>16</v>
      </c>
      <c r="G204" s="68">
        <v>250.29</v>
      </c>
      <c r="H204" s="68">
        <f t="shared" si="95"/>
        <v>4004.64</v>
      </c>
      <c r="I204" s="68">
        <v>400</v>
      </c>
      <c r="J204" s="76"/>
      <c r="K204" s="68">
        <f>VLOOKUP($H$204,Tabisr,1)</f>
        <v>3651.01</v>
      </c>
      <c r="L204" s="70">
        <f t="shared" si="89"/>
        <v>353.62999999999965</v>
      </c>
      <c r="M204" s="71">
        <f>VLOOKUP($H$204,Tabisr,4)</f>
        <v>0.16</v>
      </c>
      <c r="N204" s="68">
        <f>(H204-3651.01)*16%</f>
        <v>56.580799999999947</v>
      </c>
      <c r="O204" s="68">
        <v>293.25</v>
      </c>
      <c r="P204" s="68">
        <f t="shared" si="94"/>
        <v>349.83079999999995</v>
      </c>
      <c r="Q204" s="68">
        <f>VLOOKUP($H$204,Tabsub,3)</f>
        <v>0</v>
      </c>
      <c r="R204" s="68"/>
      <c r="S204" s="68"/>
      <c r="T204" s="68"/>
      <c r="U204" s="68"/>
      <c r="V204" s="72">
        <f>H204+I204+J204-P204+Q204-R204-S204-T204-U204</f>
        <v>4054.8091999999997</v>
      </c>
      <c r="W204" s="70">
        <f>V204-I204</f>
        <v>3654.8091999999997</v>
      </c>
      <c r="Y204" s="14">
        <f t="shared" si="92"/>
        <v>4054.8091999999997</v>
      </c>
      <c r="Z204" s="14">
        <f t="shared" si="93"/>
        <v>3654.8091999999997</v>
      </c>
    </row>
    <row r="205" spans="1:26" s="12" customFormat="1" x14ac:dyDescent="0.25">
      <c r="A205" s="32">
        <v>114</v>
      </c>
      <c r="B205" s="48">
        <v>1532115859</v>
      </c>
      <c r="C205" s="16" t="s">
        <v>335</v>
      </c>
      <c r="D205" s="19" t="s">
        <v>183</v>
      </c>
      <c r="E205" s="19" t="s">
        <v>274</v>
      </c>
      <c r="F205" s="67">
        <v>16</v>
      </c>
      <c r="G205" s="76">
        <v>250.29</v>
      </c>
      <c r="H205" s="76">
        <f t="shared" si="95"/>
        <v>4004.64</v>
      </c>
      <c r="I205" s="76">
        <v>400</v>
      </c>
      <c r="J205" s="76"/>
      <c r="K205" s="76">
        <f>VLOOKUP($H$204,Tabisr,1)</f>
        <v>3651.01</v>
      </c>
      <c r="L205" s="72">
        <f t="shared" si="89"/>
        <v>353.62999999999965</v>
      </c>
      <c r="M205" s="77">
        <f>VLOOKUP($H$204,Tabisr,4)</f>
        <v>0.16</v>
      </c>
      <c r="N205" s="76">
        <f>(H205-3651.01)*16%</f>
        <v>56.580799999999947</v>
      </c>
      <c r="O205" s="76">
        <v>293.25</v>
      </c>
      <c r="P205" s="76">
        <f t="shared" si="94"/>
        <v>349.83079999999995</v>
      </c>
      <c r="Q205" s="76">
        <f>VLOOKUP($H$204,Tabsub,3)</f>
        <v>0</v>
      </c>
      <c r="R205" s="76"/>
      <c r="S205" s="76">
        <v>1264</v>
      </c>
      <c r="T205" s="76"/>
      <c r="U205" s="76"/>
      <c r="V205" s="72">
        <f>H205+I205+J205-P205+Q205-R205-S205-T205-U205</f>
        <v>2790.8091999999997</v>
      </c>
      <c r="W205" s="72">
        <f>V205-I205</f>
        <v>2390.8091999999997</v>
      </c>
      <c r="Y205" s="14">
        <f t="shared" si="92"/>
        <v>2790.8091999999997</v>
      </c>
      <c r="Z205" s="14">
        <f t="shared" si="93"/>
        <v>2390.8091999999997</v>
      </c>
    </row>
    <row r="206" spans="1:26" s="10" customFormat="1" x14ac:dyDescent="0.25">
      <c r="A206" s="32">
        <v>115</v>
      </c>
      <c r="B206" s="48">
        <v>1585781933</v>
      </c>
      <c r="C206" s="16" t="s">
        <v>245</v>
      </c>
      <c r="D206" s="162" t="s">
        <v>187</v>
      </c>
      <c r="E206" s="162" t="s">
        <v>98</v>
      </c>
      <c r="F206" s="67">
        <v>16</v>
      </c>
      <c r="G206" s="68">
        <v>393.95</v>
      </c>
      <c r="H206" s="68">
        <f t="shared" si="95"/>
        <v>6303.2</v>
      </c>
      <c r="I206" s="68">
        <v>400</v>
      </c>
      <c r="J206" s="68"/>
      <c r="K206" s="68">
        <f>VLOOKUP($H$206,Tabisr,1)</f>
        <v>5081.01</v>
      </c>
      <c r="L206" s="70">
        <f t="shared" si="89"/>
        <v>1222.1899999999996</v>
      </c>
      <c r="M206" s="71">
        <f>VLOOKUP($H$206,Tabisr,4)</f>
        <v>0.21360000000000001</v>
      </c>
      <c r="N206" s="68">
        <f>+L206*M206</f>
        <v>261.05978399999992</v>
      </c>
      <c r="O206" s="68">
        <f>VLOOKUP($H$206,Tabisr,3)</f>
        <v>538.20000000000005</v>
      </c>
      <c r="P206" s="68">
        <f>+N206+O206</f>
        <v>799.25978399999997</v>
      </c>
      <c r="Q206" s="68">
        <f>VLOOKUP($H$206,Tabsub,3)</f>
        <v>0</v>
      </c>
      <c r="R206" s="69"/>
      <c r="S206" s="69"/>
      <c r="T206" s="69"/>
      <c r="U206" s="69"/>
      <c r="V206" s="72">
        <f>H206+I206+J206-P206+Q206-R206-S206-T206-U206</f>
        <v>5903.940216</v>
      </c>
      <c r="W206" s="70">
        <f>V206-I206</f>
        <v>5503.940216</v>
      </c>
      <c r="Y206" s="14">
        <f t="shared" si="92"/>
        <v>5903.940216</v>
      </c>
      <c r="Z206" s="14">
        <f t="shared" si="93"/>
        <v>5503.940216</v>
      </c>
    </row>
    <row r="207" spans="1:26" s="10" customFormat="1" x14ac:dyDescent="0.25">
      <c r="A207" s="34"/>
      <c r="B207" s="53"/>
      <c r="C207" s="169"/>
      <c r="D207" s="170"/>
      <c r="E207" s="234"/>
      <c r="F207" s="88"/>
      <c r="G207" s="88"/>
      <c r="H207" s="89">
        <f>+SUM(H191:H206)</f>
        <v>78984.319999999992</v>
      </c>
      <c r="I207" s="212">
        <f>+SUM(I191:I206)</f>
        <v>5600</v>
      </c>
      <c r="J207" s="212">
        <f t="shared" ref="J207:W207" si="96">+SUM(J191:J206)</f>
        <v>0</v>
      </c>
      <c r="K207" s="212">
        <f t="shared" si="96"/>
        <v>67635.150000000023</v>
      </c>
      <c r="L207" s="212">
        <f t="shared" si="96"/>
        <v>11349.169999999991</v>
      </c>
      <c r="M207" s="212">
        <f t="shared" si="96"/>
        <v>2.8824000000000005</v>
      </c>
      <c r="N207" s="212">
        <f t="shared" si="96"/>
        <v>2472.0159775999991</v>
      </c>
      <c r="O207" s="212">
        <f t="shared" si="96"/>
        <v>6453.15</v>
      </c>
      <c r="P207" s="212">
        <f t="shared" si="96"/>
        <v>8925.1659775999979</v>
      </c>
      <c r="Q207" s="212">
        <f t="shared" si="96"/>
        <v>0</v>
      </c>
      <c r="R207" s="212">
        <f t="shared" si="96"/>
        <v>1050</v>
      </c>
      <c r="S207" s="212">
        <f t="shared" si="96"/>
        <v>1264</v>
      </c>
      <c r="T207" s="212">
        <f t="shared" si="96"/>
        <v>20</v>
      </c>
      <c r="U207" s="212">
        <f t="shared" si="96"/>
        <v>0</v>
      </c>
      <c r="V207" s="212">
        <f t="shared" si="96"/>
        <v>73325.15402240002</v>
      </c>
      <c r="W207" s="212">
        <f t="shared" si="96"/>
        <v>67725.15402240002</v>
      </c>
      <c r="Y207" s="15">
        <f t="shared" si="92"/>
        <v>73325.154022399991</v>
      </c>
      <c r="Z207" s="15">
        <f t="shared" si="93"/>
        <v>67725.15402240002</v>
      </c>
    </row>
    <row r="208" spans="1:26" s="10" customFormat="1" x14ac:dyDescent="0.25">
      <c r="A208" s="34"/>
      <c r="B208" s="53"/>
      <c r="C208" s="169"/>
      <c r="D208" s="170"/>
      <c r="E208" s="234"/>
      <c r="F208" s="88"/>
      <c r="G208" s="88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Y208" s="15"/>
      <c r="Z208" s="15"/>
    </row>
    <row r="209" spans="1:26" s="10" customFormat="1" x14ac:dyDescent="0.25">
      <c r="A209" s="34"/>
      <c r="B209" s="53"/>
      <c r="C209" s="169"/>
      <c r="D209" s="170"/>
      <c r="E209" s="234"/>
      <c r="F209" s="88"/>
      <c r="G209" s="88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Y209" s="15"/>
      <c r="Z209" s="15"/>
    </row>
    <row r="210" spans="1:26" ht="18.75" x14ac:dyDescent="0.25">
      <c r="A210" s="280" t="s">
        <v>643</v>
      </c>
      <c r="B210" s="281"/>
      <c r="C210" s="281"/>
      <c r="D210" s="281"/>
      <c r="E210" s="281"/>
      <c r="F210" s="281"/>
      <c r="G210" s="281"/>
      <c r="H210" s="281"/>
      <c r="I210" s="281"/>
      <c r="J210" s="281"/>
      <c r="K210" s="281"/>
      <c r="L210" s="281"/>
      <c r="M210" s="281"/>
      <c r="N210" s="281"/>
      <c r="O210" s="281"/>
      <c r="P210" s="281"/>
      <c r="Q210" s="281"/>
      <c r="R210" s="281"/>
      <c r="S210" s="281"/>
      <c r="T210" s="281"/>
      <c r="U210" s="281"/>
      <c r="V210" s="281"/>
      <c r="W210" s="282"/>
      <c r="Y210" s="14"/>
      <c r="Z210" s="14"/>
    </row>
    <row r="211" spans="1:26" ht="33.75" customHeight="1" x14ac:dyDescent="0.25">
      <c r="A211" s="31" t="s">
        <v>69</v>
      </c>
      <c r="B211" s="52" t="s">
        <v>588</v>
      </c>
      <c r="C211" s="31" t="s">
        <v>17</v>
      </c>
      <c r="D211" s="31" t="s">
        <v>161</v>
      </c>
      <c r="E211" s="31" t="s">
        <v>143</v>
      </c>
      <c r="F211" s="31" t="s">
        <v>27</v>
      </c>
      <c r="G211" s="31" t="s">
        <v>19</v>
      </c>
      <c r="H211" s="31" t="s">
        <v>18</v>
      </c>
      <c r="I211" s="31" t="s">
        <v>66</v>
      </c>
      <c r="J211" s="31" t="s">
        <v>74</v>
      </c>
      <c r="K211" s="50" t="s">
        <v>301</v>
      </c>
      <c r="L211" s="50" t="s">
        <v>302</v>
      </c>
      <c r="M211" s="50" t="s">
        <v>303</v>
      </c>
      <c r="N211" s="50" t="s">
        <v>304</v>
      </c>
      <c r="O211" s="31" t="s">
        <v>305</v>
      </c>
      <c r="P211" s="31" t="s">
        <v>67</v>
      </c>
      <c r="Q211" s="31" t="s">
        <v>68</v>
      </c>
      <c r="R211" s="31" t="s">
        <v>20</v>
      </c>
      <c r="S211" s="31" t="s">
        <v>452</v>
      </c>
      <c r="T211" s="31" t="s">
        <v>72</v>
      </c>
      <c r="U211" s="31" t="s">
        <v>157</v>
      </c>
      <c r="V211" s="31" t="s">
        <v>155</v>
      </c>
      <c r="W211" s="31" t="s">
        <v>156</v>
      </c>
      <c r="Y211" s="14"/>
      <c r="Z211" s="14"/>
    </row>
    <row r="212" spans="1:26" ht="33.75" x14ac:dyDescent="0.25">
      <c r="A212" s="32">
        <v>116</v>
      </c>
      <c r="B212" s="164">
        <v>1503691551</v>
      </c>
      <c r="C212" s="171" t="s">
        <v>24</v>
      </c>
      <c r="D212" s="16" t="s">
        <v>645</v>
      </c>
      <c r="E212" s="19" t="s">
        <v>90</v>
      </c>
      <c r="F212" s="67">
        <v>16</v>
      </c>
      <c r="G212" s="76">
        <v>594.66999999999996</v>
      </c>
      <c r="H212" s="76">
        <f>F212*G212</f>
        <v>9514.7199999999993</v>
      </c>
      <c r="I212" s="76"/>
      <c r="J212" s="76"/>
      <c r="K212" s="76">
        <f>VLOOKUP($H$212,Tabisr,1)</f>
        <v>5081.01</v>
      </c>
      <c r="L212" s="72">
        <f>+H212-K212</f>
        <v>4433.7099999999991</v>
      </c>
      <c r="M212" s="77">
        <f>VLOOKUP($H$212,Tabisr,4)</f>
        <v>0.21360000000000001</v>
      </c>
      <c r="N212" s="76">
        <f>(H212-5081.01)*21.36%</f>
        <v>947.04045599999972</v>
      </c>
      <c r="O212" s="76">
        <v>538.20000000000005</v>
      </c>
      <c r="P212" s="76">
        <f>N212+O212</f>
        <v>1485.2404559999998</v>
      </c>
      <c r="Q212" s="76">
        <f>VLOOKUP($H$212,Tabsub,3)</f>
        <v>0</v>
      </c>
      <c r="R212" s="76"/>
      <c r="S212" s="76">
        <v>1941</v>
      </c>
      <c r="T212" s="76"/>
      <c r="U212" s="76">
        <v>500</v>
      </c>
      <c r="V212" s="72">
        <f t="shared" ref="V212:V217" si="97">H212+I212+J212-P212+Q212-R212-S212-T212-U212</f>
        <v>5588.4795439999998</v>
      </c>
      <c r="W212" s="72">
        <f t="shared" ref="W212:W217" si="98">V212-I212</f>
        <v>5588.4795439999998</v>
      </c>
      <c r="Y212" s="14">
        <f t="shared" ref="Y212:Y218" si="99">+H212+I212+J212+Q212-P212-R212-S212-T212-U212</f>
        <v>5588.4795439999998</v>
      </c>
      <c r="Z212" s="14">
        <f t="shared" ref="Z212:Z218" si="100">+V212-I212</f>
        <v>5588.4795439999998</v>
      </c>
    </row>
    <row r="213" spans="1:26" ht="27" x14ac:dyDescent="0.25">
      <c r="A213" s="32">
        <v>117</v>
      </c>
      <c r="B213" s="48">
        <v>469028900</v>
      </c>
      <c r="C213" s="16" t="s">
        <v>492</v>
      </c>
      <c r="D213" s="168" t="s">
        <v>644</v>
      </c>
      <c r="E213" s="19" t="s">
        <v>493</v>
      </c>
      <c r="F213" s="67">
        <v>16</v>
      </c>
      <c r="G213" s="76">
        <v>393.95</v>
      </c>
      <c r="H213" s="76">
        <f>F213*G213</f>
        <v>6303.2</v>
      </c>
      <c r="I213" s="76">
        <v>400</v>
      </c>
      <c r="J213" s="32"/>
      <c r="K213" s="76">
        <f>VLOOKUP($H$206,Tabisr,1)</f>
        <v>5081.01</v>
      </c>
      <c r="L213" s="72">
        <f>+H213-K213</f>
        <v>1222.1899999999996</v>
      </c>
      <c r="M213" s="77">
        <f>VLOOKUP($H$206,Tabisr,4)</f>
        <v>0.21360000000000001</v>
      </c>
      <c r="N213" s="76">
        <f>+L213*M213</f>
        <v>261.05978399999992</v>
      </c>
      <c r="O213" s="76">
        <f>VLOOKUP($H$206,Tabisr,3)</f>
        <v>538.20000000000005</v>
      </c>
      <c r="P213" s="64">
        <f>+N213+O213</f>
        <v>799.25978399999997</v>
      </c>
      <c r="Q213" s="76"/>
      <c r="R213" s="76">
        <v>1600</v>
      </c>
      <c r="S213" s="76"/>
      <c r="T213" s="76"/>
      <c r="U213" s="76">
        <v>500</v>
      </c>
      <c r="V213" s="72">
        <f t="shared" si="97"/>
        <v>3803.940216</v>
      </c>
      <c r="W213" s="72">
        <f t="shared" si="98"/>
        <v>3403.940216</v>
      </c>
      <c r="Y213" s="14">
        <f t="shared" si="99"/>
        <v>3803.940216</v>
      </c>
      <c r="Z213" s="14">
        <f t="shared" si="100"/>
        <v>3403.940216</v>
      </c>
    </row>
    <row r="214" spans="1:26" x14ac:dyDescent="0.25">
      <c r="A214" s="32">
        <v>118</v>
      </c>
      <c r="B214" s="164">
        <v>1422999730</v>
      </c>
      <c r="C214" s="16" t="s">
        <v>559</v>
      </c>
      <c r="D214" s="16" t="s">
        <v>558</v>
      </c>
      <c r="E214" s="19" t="s">
        <v>560</v>
      </c>
      <c r="F214" s="67">
        <v>16</v>
      </c>
      <c r="G214" s="76">
        <v>296.54000000000002</v>
      </c>
      <c r="H214" s="76">
        <f>F214*G214</f>
        <v>4744.6400000000003</v>
      </c>
      <c r="I214" s="76">
        <v>400</v>
      </c>
      <c r="J214" s="32"/>
      <c r="K214" s="76">
        <f>VLOOKUP($H$90,Tabisr,1)</f>
        <v>5081.01</v>
      </c>
      <c r="L214" s="72">
        <f>+H214-K214</f>
        <v>-336.36999999999989</v>
      </c>
      <c r="M214" s="77">
        <f>VLOOKUP($H$90,Tabisr,4)</f>
        <v>0.21360000000000001</v>
      </c>
      <c r="N214" s="76">
        <f>(H214-4244.01)*17.92%</f>
        <v>89.712896000000029</v>
      </c>
      <c r="O214" s="76">
        <v>388.05</v>
      </c>
      <c r="P214" s="76">
        <f>N214+O214</f>
        <v>477.76289600000007</v>
      </c>
      <c r="Q214" s="76"/>
      <c r="R214" s="76"/>
      <c r="S214" s="76"/>
      <c r="T214" s="76"/>
      <c r="U214" s="76"/>
      <c r="V214" s="72">
        <f t="shared" si="97"/>
        <v>4666.8771040000001</v>
      </c>
      <c r="W214" s="72">
        <f t="shared" si="98"/>
        <v>4266.8771040000001</v>
      </c>
      <c r="Y214" s="14">
        <f t="shared" si="99"/>
        <v>4666.8771040000001</v>
      </c>
      <c r="Z214" s="14">
        <f t="shared" si="100"/>
        <v>4266.8771040000001</v>
      </c>
    </row>
    <row r="215" spans="1:26" ht="22.5" x14ac:dyDescent="0.25">
      <c r="A215" s="32">
        <v>245</v>
      </c>
      <c r="B215" s="164">
        <v>1501513920</v>
      </c>
      <c r="C215" s="16" t="s">
        <v>665</v>
      </c>
      <c r="D215" s="16" t="s">
        <v>663</v>
      </c>
      <c r="E215" s="19" t="s">
        <v>664</v>
      </c>
      <c r="F215" s="67">
        <v>16</v>
      </c>
      <c r="G215" s="76">
        <v>393.95</v>
      </c>
      <c r="H215" s="76">
        <f>F215*G215</f>
        <v>6303.2</v>
      </c>
      <c r="I215" s="76">
        <v>400</v>
      </c>
      <c r="J215" s="32"/>
      <c r="K215" s="76">
        <f>VLOOKUP($H$206,Tabisr,1)</f>
        <v>5081.01</v>
      </c>
      <c r="L215" s="72">
        <f>+H215-K215</f>
        <v>1222.1899999999996</v>
      </c>
      <c r="M215" s="77">
        <f>VLOOKUP($H$206,Tabisr,4)</f>
        <v>0.21360000000000001</v>
      </c>
      <c r="N215" s="76">
        <f>+L215*M215</f>
        <v>261.05978399999992</v>
      </c>
      <c r="O215" s="76">
        <f>VLOOKUP($H$206,Tabisr,3)</f>
        <v>538.20000000000005</v>
      </c>
      <c r="P215" s="64">
        <f>+N215+O215</f>
        <v>799.25978399999997</v>
      </c>
      <c r="Q215" s="76"/>
      <c r="R215" s="76"/>
      <c r="S215" s="76"/>
      <c r="T215" s="76"/>
      <c r="U215" s="76"/>
      <c r="V215" s="72">
        <f t="shared" ref="V215" si="101">H215+I215+J215-P215+Q215-R215-S215-T215-U215</f>
        <v>5903.940216</v>
      </c>
      <c r="W215" s="72">
        <f t="shared" ref="W215" si="102">V215-I215</f>
        <v>5503.940216</v>
      </c>
      <c r="Y215" s="14">
        <f t="shared" ref="Y215:Y216" si="103">+H215+I215+J215+Q215-P215-R215-S215-T215-U215</f>
        <v>5903.940216</v>
      </c>
      <c r="Z215" s="14">
        <f t="shared" ref="Z215:Z216" si="104">+V215-I215</f>
        <v>5503.940216</v>
      </c>
    </row>
    <row r="216" spans="1:26" x14ac:dyDescent="0.25">
      <c r="A216" s="38">
        <v>119</v>
      </c>
      <c r="B216" s="54"/>
      <c r="C216" s="165" t="s">
        <v>458</v>
      </c>
      <c r="D216" s="23" t="s">
        <v>163</v>
      </c>
      <c r="E216" s="23"/>
      <c r="F216" s="82"/>
      <c r="G216" s="83"/>
      <c r="H216" s="83"/>
      <c r="I216" s="83"/>
      <c r="J216" s="115"/>
      <c r="K216" s="83"/>
      <c r="L216" s="85"/>
      <c r="M216" s="86"/>
      <c r="N216" s="83"/>
      <c r="O216" s="83"/>
      <c r="P216" s="83"/>
      <c r="Q216" s="83"/>
      <c r="R216" s="83"/>
      <c r="S216" s="83"/>
      <c r="T216" s="83"/>
      <c r="U216" s="83"/>
      <c r="V216" s="85">
        <f t="shared" si="97"/>
        <v>0</v>
      </c>
      <c r="W216" s="85">
        <f t="shared" si="98"/>
        <v>0</v>
      </c>
      <c r="Y216" s="14">
        <f t="shared" si="103"/>
        <v>0</v>
      </c>
      <c r="Z216" s="14">
        <f t="shared" si="104"/>
        <v>0</v>
      </c>
    </row>
    <row r="217" spans="1:26" s="10" customFormat="1" x14ac:dyDescent="0.25">
      <c r="A217" s="32">
        <v>120</v>
      </c>
      <c r="B217" s="48">
        <v>1585781984</v>
      </c>
      <c r="C217" s="161" t="s">
        <v>270</v>
      </c>
      <c r="D217" s="161" t="s">
        <v>166</v>
      </c>
      <c r="E217" s="162" t="s">
        <v>271</v>
      </c>
      <c r="F217" s="90">
        <v>16</v>
      </c>
      <c r="G217" s="68">
        <v>209.47</v>
      </c>
      <c r="H217" s="68">
        <f>F217*G217</f>
        <v>3351.52</v>
      </c>
      <c r="I217" s="68">
        <v>400</v>
      </c>
      <c r="J217" s="68"/>
      <c r="K217" s="68">
        <f>VLOOKUP($H$185,Tabisr,1)</f>
        <v>2077.5100000000002</v>
      </c>
      <c r="L217" s="70">
        <f>+H217-K217</f>
        <v>1274.0099999999998</v>
      </c>
      <c r="M217" s="71">
        <f>VLOOKUP($H$185,Tabisr,4)</f>
        <v>0.10879999999999999</v>
      </c>
      <c r="N217" s="68">
        <f>(H217-2077.51)*10.88%</f>
        <v>138.61228799999998</v>
      </c>
      <c r="O217" s="68">
        <v>121.95</v>
      </c>
      <c r="P217" s="68">
        <f>N217+O217</f>
        <v>260.56228799999997</v>
      </c>
      <c r="Q217" s="68">
        <f>VLOOKUP($H$179,Tabsub,3)</f>
        <v>125.1</v>
      </c>
      <c r="R217" s="68">
        <v>350</v>
      </c>
      <c r="S217" s="68"/>
      <c r="T217" s="68"/>
      <c r="U217" s="68"/>
      <c r="V217" s="72">
        <f t="shared" si="97"/>
        <v>3266.0577119999998</v>
      </c>
      <c r="W217" s="70">
        <f t="shared" si="98"/>
        <v>2866.0577119999998</v>
      </c>
      <c r="Y217" s="14">
        <f t="shared" si="99"/>
        <v>3266.0577119999998</v>
      </c>
      <c r="Z217" s="14">
        <f t="shared" si="100"/>
        <v>2866.0577119999998</v>
      </c>
    </row>
    <row r="218" spans="1:26" s="10" customFormat="1" x14ac:dyDescent="0.25">
      <c r="A218" s="38"/>
      <c r="B218" s="54"/>
      <c r="C218" s="165" t="s">
        <v>458</v>
      </c>
      <c r="D218" s="165" t="s">
        <v>170</v>
      </c>
      <c r="E218" s="23"/>
      <c r="F218" s="82"/>
      <c r="G218" s="83"/>
      <c r="H218" s="83"/>
      <c r="I218" s="83"/>
      <c r="J218" s="83"/>
      <c r="K218" s="83"/>
      <c r="L218" s="85"/>
      <c r="M218" s="86"/>
      <c r="N218" s="83"/>
      <c r="O218" s="83"/>
      <c r="P218" s="83"/>
      <c r="Q218" s="83"/>
      <c r="R218" s="83"/>
      <c r="S218" s="83"/>
      <c r="T218" s="83"/>
      <c r="U218" s="83"/>
      <c r="V218" s="85"/>
      <c r="W218" s="85"/>
      <c r="Y218" s="14">
        <f t="shared" si="99"/>
        <v>0</v>
      </c>
      <c r="Z218" s="14">
        <f t="shared" si="100"/>
        <v>0</v>
      </c>
    </row>
    <row r="219" spans="1:26" s="10" customFormat="1" x14ac:dyDescent="0.25">
      <c r="A219" s="34"/>
      <c r="B219" s="53"/>
      <c r="C219" s="163"/>
      <c r="D219" s="163"/>
      <c r="E219" s="27"/>
      <c r="F219" s="73"/>
      <c r="G219" s="74"/>
      <c r="H219" s="80">
        <f>+SUM(H212:H218)</f>
        <v>30217.279999999999</v>
      </c>
      <c r="I219" s="80">
        <f>+SUM(I212:I218)</f>
        <v>1600</v>
      </c>
      <c r="J219" s="80">
        <f t="shared" ref="J219:W219" si="105">+SUM(J212:J218)</f>
        <v>0</v>
      </c>
      <c r="K219" s="80">
        <f t="shared" si="105"/>
        <v>22401.550000000003</v>
      </c>
      <c r="L219" s="80">
        <f t="shared" si="105"/>
        <v>7815.7299999999977</v>
      </c>
      <c r="M219" s="80">
        <f t="shared" si="105"/>
        <v>0.96320000000000006</v>
      </c>
      <c r="N219" s="80">
        <f t="shared" si="105"/>
        <v>1697.4852079999998</v>
      </c>
      <c r="O219" s="80">
        <f t="shared" si="105"/>
        <v>2124.6</v>
      </c>
      <c r="P219" s="80">
        <f t="shared" si="105"/>
        <v>3822.085208</v>
      </c>
      <c r="Q219" s="80">
        <f t="shared" si="105"/>
        <v>125.1</v>
      </c>
      <c r="R219" s="80">
        <f t="shared" si="105"/>
        <v>1950</v>
      </c>
      <c r="S219" s="80">
        <f t="shared" si="105"/>
        <v>1941</v>
      </c>
      <c r="T219" s="80">
        <f t="shared" si="105"/>
        <v>0</v>
      </c>
      <c r="U219" s="80">
        <f t="shared" si="105"/>
        <v>1000</v>
      </c>
      <c r="V219" s="80">
        <f t="shared" si="105"/>
        <v>23229.294792000001</v>
      </c>
      <c r="W219" s="80">
        <f t="shared" si="105"/>
        <v>21629.294792000001</v>
      </c>
      <c r="Y219" s="15">
        <f>+H219+I219+J219+Q219-P219-R219-S219-T219-U219</f>
        <v>23229.294791999997</v>
      </c>
      <c r="Z219" s="15">
        <f>+V219-I219</f>
        <v>21629.294792000001</v>
      </c>
    </row>
    <row r="220" spans="1:26" s="10" customFormat="1" x14ac:dyDescent="0.25">
      <c r="A220" s="34"/>
      <c r="B220" s="53"/>
      <c r="C220" s="163"/>
      <c r="D220" s="163"/>
      <c r="E220" s="27"/>
      <c r="F220" s="73"/>
      <c r="G220" s="74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Y220" s="14"/>
      <c r="Z220" s="14"/>
    </row>
    <row r="221" spans="1:26" s="10" customFormat="1" x14ac:dyDescent="0.25">
      <c r="A221" s="34"/>
      <c r="B221" s="53"/>
      <c r="C221" s="169"/>
      <c r="D221" s="170"/>
      <c r="E221" s="234"/>
      <c r="F221" s="88"/>
      <c r="G221" s="88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Y221" s="14"/>
      <c r="Z221" s="14"/>
    </row>
    <row r="222" spans="1:26" s="10" customFormat="1" ht="18.75" x14ac:dyDescent="0.25">
      <c r="A222" s="277" t="s">
        <v>398</v>
      </c>
      <c r="B222" s="278"/>
      <c r="C222" s="278"/>
      <c r="D222" s="278"/>
      <c r="E222" s="278"/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9"/>
      <c r="Y222" s="14"/>
      <c r="Z222" s="14"/>
    </row>
    <row r="223" spans="1:26" s="10" customFormat="1" ht="34.5" customHeight="1" x14ac:dyDescent="0.25">
      <c r="A223" s="31" t="s">
        <v>69</v>
      </c>
      <c r="B223" s="52" t="s">
        <v>588</v>
      </c>
      <c r="C223" s="31" t="s">
        <v>17</v>
      </c>
      <c r="D223" s="31" t="s">
        <v>161</v>
      </c>
      <c r="E223" s="31" t="s">
        <v>143</v>
      </c>
      <c r="F223" s="31" t="s">
        <v>27</v>
      </c>
      <c r="G223" s="31" t="s">
        <v>19</v>
      </c>
      <c r="H223" s="31" t="s">
        <v>18</v>
      </c>
      <c r="I223" s="31" t="s">
        <v>66</v>
      </c>
      <c r="J223" s="31" t="s">
        <v>74</v>
      </c>
      <c r="K223" s="50" t="s">
        <v>301</v>
      </c>
      <c r="L223" s="50" t="s">
        <v>302</v>
      </c>
      <c r="M223" s="50" t="s">
        <v>303</v>
      </c>
      <c r="N223" s="50" t="s">
        <v>304</v>
      </c>
      <c r="O223" s="31" t="s">
        <v>305</v>
      </c>
      <c r="P223" s="31" t="s">
        <v>67</v>
      </c>
      <c r="Q223" s="31" t="s">
        <v>68</v>
      </c>
      <c r="R223" s="31" t="s">
        <v>20</v>
      </c>
      <c r="S223" s="31" t="s">
        <v>452</v>
      </c>
      <c r="T223" s="31" t="s">
        <v>72</v>
      </c>
      <c r="U223" s="31" t="s">
        <v>157</v>
      </c>
      <c r="V223" s="31" t="s">
        <v>155</v>
      </c>
      <c r="W223" s="31" t="s">
        <v>156</v>
      </c>
      <c r="Y223" s="14"/>
      <c r="Z223" s="14"/>
    </row>
    <row r="224" spans="1:26" s="10" customFormat="1" ht="22.5" x14ac:dyDescent="0.25">
      <c r="A224" s="32">
        <v>122</v>
      </c>
      <c r="B224" s="48">
        <v>1586251555</v>
      </c>
      <c r="C224" s="16" t="s">
        <v>14</v>
      </c>
      <c r="D224" s="16" t="s">
        <v>373</v>
      </c>
      <c r="E224" s="19" t="s">
        <v>92</v>
      </c>
      <c r="F224" s="67">
        <v>16</v>
      </c>
      <c r="G224" s="76">
        <v>594.66999999999996</v>
      </c>
      <c r="H224" s="76">
        <f>F224*G224</f>
        <v>9514.7199999999993</v>
      </c>
      <c r="I224" s="76"/>
      <c r="J224" s="76"/>
      <c r="K224" s="76">
        <f>VLOOKUP($H$212,Tabisr,1)</f>
        <v>5081.01</v>
      </c>
      <c r="L224" s="72">
        <f>+H224-K224</f>
        <v>4433.7099999999991</v>
      </c>
      <c r="M224" s="77">
        <f>VLOOKUP($H$212,Tabisr,4)</f>
        <v>0.21360000000000001</v>
      </c>
      <c r="N224" s="76">
        <f>(H224-5081.01)*21.36%</f>
        <v>947.04045599999972</v>
      </c>
      <c r="O224" s="76">
        <v>538.20000000000005</v>
      </c>
      <c r="P224" s="76">
        <f>N224+O224</f>
        <v>1485.2404559999998</v>
      </c>
      <c r="Q224" s="76">
        <f>VLOOKUP($H$212,Tabsub,3)</f>
        <v>0</v>
      </c>
      <c r="R224" s="76"/>
      <c r="S224" s="76"/>
      <c r="T224" s="76"/>
      <c r="U224" s="76"/>
      <c r="V224" s="72">
        <f>H224+I224+J224-P224+Q224-R224-S224-T224-U224</f>
        <v>8029.4795439999998</v>
      </c>
      <c r="W224" s="72">
        <f>V224-I224</f>
        <v>8029.4795439999998</v>
      </c>
      <c r="Y224" s="14">
        <f>+H224+I224+J224+Q224-P224-R224-S224-T224-U224</f>
        <v>8029.4795439999998</v>
      </c>
      <c r="Z224" s="14">
        <f>+V224-I224</f>
        <v>8029.4795439999998</v>
      </c>
    </row>
    <row r="225" spans="1:26" s="10" customFormat="1" x14ac:dyDescent="0.25">
      <c r="A225" s="34"/>
      <c r="B225" s="53"/>
      <c r="C225" s="169"/>
      <c r="D225" s="170"/>
      <c r="E225" s="234"/>
      <c r="F225" s="88"/>
      <c r="G225" s="88"/>
      <c r="H225" s="89">
        <f>+H224</f>
        <v>9514.7199999999993</v>
      </c>
      <c r="I225" s="89">
        <f t="shared" ref="I225:W225" si="106">+I224</f>
        <v>0</v>
      </c>
      <c r="J225" s="89">
        <f t="shared" si="106"/>
        <v>0</v>
      </c>
      <c r="K225" s="89">
        <f t="shared" si="106"/>
        <v>5081.01</v>
      </c>
      <c r="L225" s="89">
        <f t="shared" si="106"/>
        <v>4433.7099999999991</v>
      </c>
      <c r="M225" s="89">
        <f t="shared" si="106"/>
        <v>0.21360000000000001</v>
      </c>
      <c r="N225" s="89">
        <f t="shared" si="106"/>
        <v>947.04045599999972</v>
      </c>
      <c r="O225" s="89">
        <f t="shared" si="106"/>
        <v>538.20000000000005</v>
      </c>
      <c r="P225" s="89">
        <f t="shared" si="106"/>
        <v>1485.2404559999998</v>
      </c>
      <c r="Q225" s="89">
        <f t="shared" si="106"/>
        <v>0</v>
      </c>
      <c r="R225" s="89">
        <f t="shared" si="106"/>
        <v>0</v>
      </c>
      <c r="S225" s="89">
        <f t="shared" si="106"/>
        <v>0</v>
      </c>
      <c r="T225" s="89">
        <f t="shared" si="106"/>
        <v>0</v>
      </c>
      <c r="U225" s="89">
        <f t="shared" si="106"/>
        <v>0</v>
      </c>
      <c r="V225" s="89">
        <f t="shared" si="106"/>
        <v>8029.4795439999998</v>
      </c>
      <c r="W225" s="89">
        <f t="shared" si="106"/>
        <v>8029.4795439999998</v>
      </c>
      <c r="Y225" s="15">
        <f>+Y224</f>
        <v>8029.4795439999998</v>
      </c>
      <c r="Z225" s="15">
        <f>+Z224</f>
        <v>8029.4795439999998</v>
      </c>
    </row>
    <row r="226" spans="1:26" s="10" customFormat="1" x14ac:dyDescent="0.25">
      <c r="A226" s="34"/>
      <c r="B226" s="53"/>
      <c r="C226" s="169"/>
      <c r="D226" s="170"/>
      <c r="E226" s="234"/>
      <c r="F226" s="88"/>
      <c r="G226" s="88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Y226" s="14"/>
      <c r="Z226" s="14"/>
    </row>
    <row r="227" spans="1:26" s="10" customFormat="1" ht="18.75" x14ac:dyDescent="0.25">
      <c r="A227" s="277" t="s">
        <v>508</v>
      </c>
      <c r="B227" s="278"/>
      <c r="C227" s="278"/>
      <c r="D227" s="278"/>
      <c r="E227" s="278"/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9"/>
      <c r="Y227" s="14"/>
      <c r="Z227" s="14"/>
    </row>
    <row r="228" spans="1:26" s="10" customFormat="1" ht="32.25" customHeight="1" x14ac:dyDescent="0.25">
      <c r="A228" s="31" t="s">
        <v>69</v>
      </c>
      <c r="B228" s="52" t="s">
        <v>588</v>
      </c>
      <c r="C228" s="31" t="s">
        <v>17</v>
      </c>
      <c r="D228" s="31" t="s">
        <v>161</v>
      </c>
      <c r="E228" s="31" t="s">
        <v>143</v>
      </c>
      <c r="F228" s="31" t="s">
        <v>27</v>
      </c>
      <c r="G228" s="31" t="s">
        <v>19</v>
      </c>
      <c r="H228" s="31" t="s">
        <v>18</v>
      </c>
      <c r="I228" s="31" t="s">
        <v>66</v>
      </c>
      <c r="J228" s="31" t="s">
        <v>74</v>
      </c>
      <c r="K228" s="50" t="s">
        <v>301</v>
      </c>
      <c r="L228" s="50" t="s">
        <v>302</v>
      </c>
      <c r="M228" s="50" t="s">
        <v>303</v>
      </c>
      <c r="N228" s="50" t="s">
        <v>304</v>
      </c>
      <c r="O228" s="31" t="s">
        <v>305</v>
      </c>
      <c r="P228" s="31" t="s">
        <v>67</v>
      </c>
      <c r="Q228" s="31" t="s">
        <v>68</v>
      </c>
      <c r="R228" s="31" t="s">
        <v>20</v>
      </c>
      <c r="S228" s="31" t="s">
        <v>452</v>
      </c>
      <c r="T228" s="31" t="s">
        <v>72</v>
      </c>
      <c r="U228" s="31" t="s">
        <v>157</v>
      </c>
      <c r="V228" s="31" t="s">
        <v>155</v>
      </c>
      <c r="W228" s="31" t="s">
        <v>156</v>
      </c>
      <c r="Y228" s="14"/>
      <c r="Z228" s="14"/>
    </row>
    <row r="229" spans="1:26" s="10" customFormat="1" x14ac:dyDescent="0.25">
      <c r="A229" s="39">
        <v>123</v>
      </c>
      <c r="B229" s="56"/>
      <c r="C229" s="22" t="s">
        <v>505</v>
      </c>
      <c r="D229" s="22" t="s">
        <v>506</v>
      </c>
      <c r="E229" s="202" t="s">
        <v>507</v>
      </c>
      <c r="F229" s="94">
        <v>16</v>
      </c>
      <c r="G229" s="95">
        <v>594.66999999999996</v>
      </c>
      <c r="H229" s="95">
        <f>F229*G229</f>
        <v>9514.7199999999993</v>
      </c>
      <c r="I229" s="95"/>
      <c r="J229" s="95"/>
      <c r="K229" s="95">
        <f>VLOOKUP($H$212,Tabisr,1)</f>
        <v>5081.01</v>
      </c>
      <c r="L229" s="97">
        <f>+H229-K229</f>
        <v>4433.7099999999991</v>
      </c>
      <c r="M229" s="98">
        <f>VLOOKUP($H$212,Tabisr,4)</f>
        <v>0.21360000000000001</v>
      </c>
      <c r="N229" s="95">
        <f>(H229-5081.01)*21.36%</f>
        <v>947.04045599999972</v>
      </c>
      <c r="O229" s="95">
        <v>538.20000000000005</v>
      </c>
      <c r="P229" s="95">
        <f>N229+O229</f>
        <v>1485.2404559999998</v>
      </c>
      <c r="Q229" s="95">
        <f>VLOOKUP($H$212,Tabsub,3)</f>
        <v>0</v>
      </c>
      <c r="R229" s="95"/>
      <c r="S229" s="95">
        <v>1533</v>
      </c>
      <c r="T229" s="95"/>
      <c r="U229" s="95"/>
      <c r="V229" s="97">
        <f>H229+I229+J229-P229+Q229-R229-S229-T229-U229</f>
        <v>6496.4795439999998</v>
      </c>
      <c r="W229" s="97">
        <f>V229-I229</f>
        <v>6496.4795439999998</v>
      </c>
      <c r="Y229" s="14">
        <f>+H229+I229+J229+Q229-P229-R229-S229-T229-U229</f>
        <v>6496.4795439999998</v>
      </c>
      <c r="Z229" s="14">
        <f>+V229-I229</f>
        <v>6496.4795439999998</v>
      </c>
    </row>
    <row r="230" spans="1:26" s="10" customFormat="1" x14ac:dyDescent="0.25">
      <c r="A230" s="32">
        <v>17</v>
      </c>
      <c r="B230" s="164">
        <v>1585781322</v>
      </c>
      <c r="C230" s="16" t="s">
        <v>313</v>
      </c>
      <c r="D230" s="19" t="s">
        <v>315</v>
      </c>
      <c r="E230" s="19" t="s">
        <v>314</v>
      </c>
      <c r="F230" s="67">
        <v>16</v>
      </c>
      <c r="G230" s="79">
        <v>296.54000000000002</v>
      </c>
      <c r="H230" s="72">
        <f>F230*G230</f>
        <v>4744.6400000000003</v>
      </c>
      <c r="I230" s="64">
        <v>400</v>
      </c>
      <c r="J230" s="64"/>
      <c r="K230" s="76">
        <f>VLOOKUP($H$369,Tabisr,1)</f>
        <v>5081.01</v>
      </c>
      <c r="L230" s="72">
        <f>+H230-K230</f>
        <v>-336.36999999999989</v>
      </c>
      <c r="M230" s="77">
        <f>VLOOKUP($H$369,Tabisr,4)</f>
        <v>0.21360000000000001</v>
      </c>
      <c r="N230" s="68">
        <f>(H230-4244.01)*17.92%</f>
        <v>89.712896000000029</v>
      </c>
      <c r="O230" s="76">
        <v>388.05</v>
      </c>
      <c r="P230" s="68">
        <f>N230+O230</f>
        <v>477.76289600000007</v>
      </c>
      <c r="Q230" s="76">
        <f>VLOOKUP($H$369,Tabsub,3)</f>
        <v>0</v>
      </c>
      <c r="R230" s="64"/>
      <c r="S230" s="64"/>
      <c r="T230" s="64"/>
      <c r="U230" s="64"/>
      <c r="V230" s="72">
        <f>H230+I230+J230-P230+Q230-R230-S230-T230-U230</f>
        <v>4666.8771040000001</v>
      </c>
      <c r="W230" s="72">
        <f>V230-I230</f>
        <v>4266.8771040000001</v>
      </c>
      <c r="Y230" s="14">
        <f t="shared" ref="Y230:Y232" si="107">+H230+I230+J230+Q230-P230-R230-S230-T230-U230</f>
        <v>4666.8771040000001</v>
      </c>
      <c r="Z230" s="14">
        <f t="shared" ref="Z230:Z232" si="108">+V230-I230</f>
        <v>4266.8771040000001</v>
      </c>
    </row>
    <row r="231" spans="1:26" s="12" customFormat="1" x14ac:dyDescent="0.25">
      <c r="A231" s="32">
        <v>124</v>
      </c>
      <c r="B231" s="48">
        <v>1585781994</v>
      </c>
      <c r="C231" s="171" t="s">
        <v>593</v>
      </c>
      <c r="D231" s="16" t="s">
        <v>594</v>
      </c>
      <c r="E231" s="21" t="s">
        <v>611</v>
      </c>
      <c r="F231" s="67">
        <v>16</v>
      </c>
      <c r="G231" s="76">
        <v>250.29</v>
      </c>
      <c r="H231" s="76">
        <f>F231*G231</f>
        <v>4004.64</v>
      </c>
      <c r="I231" s="76">
        <v>400</v>
      </c>
      <c r="J231" s="76"/>
      <c r="K231" s="76">
        <f>VLOOKUP($H$194,Tabisr,1)</f>
        <v>3651.01</v>
      </c>
      <c r="L231" s="72">
        <f>+H231-K231</f>
        <v>353.62999999999965</v>
      </c>
      <c r="M231" s="77">
        <f>VLOOKUP($H$194,Tabisr,4)</f>
        <v>0.16</v>
      </c>
      <c r="N231" s="76">
        <f>(H231-3651.01)*16%</f>
        <v>56.580799999999947</v>
      </c>
      <c r="O231" s="76">
        <v>293.25</v>
      </c>
      <c r="P231" s="76">
        <f>N231+O231</f>
        <v>349.83079999999995</v>
      </c>
      <c r="Q231" s="76"/>
      <c r="R231" s="76"/>
      <c r="S231" s="76"/>
      <c r="T231" s="76"/>
      <c r="U231" s="76"/>
      <c r="V231" s="72">
        <f>H231+I231+J231-P231+Q231-R231-S231-T231-U231</f>
        <v>4054.8091999999997</v>
      </c>
      <c r="W231" s="72">
        <f>V231-I231</f>
        <v>3654.8091999999997</v>
      </c>
      <c r="Y231" s="14">
        <f t="shared" si="107"/>
        <v>4054.8091999999997</v>
      </c>
      <c r="Z231" s="14">
        <f t="shared" si="108"/>
        <v>3654.8091999999997</v>
      </c>
    </row>
    <row r="232" spans="1:26" s="10" customFormat="1" x14ac:dyDescent="0.25">
      <c r="A232" s="32">
        <v>125</v>
      </c>
      <c r="B232" s="48">
        <v>1585782000</v>
      </c>
      <c r="C232" s="171" t="s">
        <v>561</v>
      </c>
      <c r="D232" s="16" t="s">
        <v>563</v>
      </c>
      <c r="E232" s="19" t="s">
        <v>562</v>
      </c>
      <c r="F232" s="67">
        <v>16</v>
      </c>
      <c r="G232" s="76">
        <v>296.54000000000002</v>
      </c>
      <c r="H232" s="76">
        <f>F232*G232</f>
        <v>4744.6400000000003</v>
      </c>
      <c r="I232" s="76">
        <v>400</v>
      </c>
      <c r="J232" s="76"/>
      <c r="K232" s="76">
        <f>VLOOKUP($H$90,Tabisr,1)</f>
        <v>5081.01</v>
      </c>
      <c r="L232" s="72">
        <f>+H232-K232</f>
        <v>-336.36999999999989</v>
      </c>
      <c r="M232" s="77">
        <f>VLOOKUP($H$90,Tabisr,4)</f>
        <v>0.21360000000000001</v>
      </c>
      <c r="N232" s="76">
        <f>(H232-4244.01)*17.92%</f>
        <v>89.712896000000029</v>
      </c>
      <c r="O232" s="76">
        <v>388.05</v>
      </c>
      <c r="P232" s="76">
        <f>N232+O232</f>
        <v>477.76289600000007</v>
      </c>
      <c r="Q232" s="76"/>
      <c r="R232" s="76"/>
      <c r="S232" s="76"/>
      <c r="T232" s="76"/>
      <c r="U232" s="76"/>
      <c r="V232" s="72">
        <f>H232+I232+J232-P232+Q232-R232-T232-U232</f>
        <v>4666.8771040000001</v>
      </c>
      <c r="W232" s="72">
        <f>V232-I232</f>
        <v>4266.8771040000001</v>
      </c>
      <c r="Y232" s="14">
        <f t="shared" si="107"/>
        <v>4666.8771040000001</v>
      </c>
      <c r="Z232" s="14">
        <f t="shared" si="108"/>
        <v>4266.8771040000001</v>
      </c>
    </row>
    <row r="233" spans="1:26" s="10" customFormat="1" x14ac:dyDescent="0.25">
      <c r="A233" s="34"/>
      <c r="B233" s="53"/>
      <c r="C233" s="169"/>
      <c r="D233" s="170"/>
      <c r="E233" s="234"/>
      <c r="F233" s="88"/>
      <c r="G233" s="88"/>
      <c r="H233" s="89">
        <f>SUM(H229:H232)</f>
        <v>23008.639999999999</v>
      </c>
      <c r="I233" s="89">
        <f>I232+I231+I230</f>
        <v>1200</v>
      </c>
      <c r="J233" s="89">
        <f t="shared" ref="J233:U233" si="109">+J229</f>
        <v>0</v>
      </c>
      <c r="K233" s="89">
        <f t="shared" si="109"/>
        <v>5081.01</v>
      </c>
      <c r="L233" s="89">
        <f t="shared" si="109"/>
        <v>4433.7099999999991</v>
      </c>
      <c r="M233" s="89">
        <f t="shared" si="109"/>
        <v>0.21360000000000001</v>
      </c>
      <c r="N233" s="89">
        <f t="shared" si="109"/>
        <v>947.04045599999972</v>
      </c>
      <c r="O233" s="89">
        <f t="shared" si="109"/>
        <v>538.20000000000005</v>
      </c>
      <c r="P233" s="89">
        <f>SUM(P229:P232)</f>
        <v>2790.5970479999996</v>
      </c>
      <c r="Q233" s="89">
        <f t="shared" si="109"/>
        <v>0</v>
      </c>
      <c r="R233" s="89">
        <f t="shared" si="109"/>
        <v>0</v>
      </c>
      <c r="S233" s="89">
        <f t="shared" si="109"/>
        <v>1533</v>
      </c>
      <c r="T233" s="89">
        <f t="shared" si="109"/>
        <v>0</v>
      </c>
      <c r="U233" s="89">
        <f t="shared" si="109"/>
        <v>0</v>
      </c>
      <c r="V233" s="89">
        <f>SUM(V229:V232)</f>
        <v>19885.042952</v>
      </c>
      <c r="W233" s="89">
        <f>SUM(W229:W232)</f>
        <v>18685.042952</v>
      </c>
      <c r="Y233" s="15">
        <f>SUM(Y229:Y232)</f>
        <v>19885.042952</v>
      </c>
      <c r="Z233" s="15">
        <f>SUM(Z229:Z232)</f>
        <v>18685.042952</v>
      </c>
    </row>
    <row r="234" spans="1:26" s="10" customFormat="1" x14ac:dyDescent="0.25">
      <c r="A234" s="34"/>
      <c r="B234" s="53"/>
      <c r="C234" s="169"/>
      <c r="D234" s="170"/>
      <c r="E234" s="234"/>
      <c r="F234" s="88"/>
      <c r="G234" s="88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Y234" s="14"/>
      <c r="Z234" s="14"/>
    </row>
    <row r="235" spans="1:26" s="10" customFormat="1" ht="18.75" x14ac:dyDescent="0.25">
      <c r="A235" s="277" t="s">
        <v>399</v>
      </c>
      <c r="B235" s="278"/>
      <c r="C235" s="278"/>
      <c r="D235" s="278"/>
      <c r="E235" s="278"/>
      <c r="F235" s="27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8"/>
      <c r="V235" s="278"/>
      <c r="W235" s="279"/>
      <c r="Y235" s="14"/>
      <c r="Z235" s="14"/>
    </row>
    <row r="236" spans="1:26" s="10" customFormat="1" ht="35.25" customHeight="1" x14ac:dyDescent="0.25">
      <c r="A236" s="31" t="s">
        <v>69</v>
      </c>
      <c r="B236" s="52" t="s">
        <v>588</v>
      </c>
      <c r="C236" s="31" t="s">
        <v>17</v>
      </c>
      <c r="D236" s="31" t="s">
        <v>161</v>
      </c>
      <c r="E236" s="31" t="s">
        <v>143</v>
      </c>
      <c r="F236" s="31" t="s">
        <v>27</v>
      </c>
      <c r="G236" s="31" t="s">
        <v>19</v>
      </c>
      <c r="H236" s="31" t="s">
        <v>18</v>
      </c>
      <c r="I236" s="31" t="s">
        <v>66</v>
      </c>
      <c r="J236" s="31" t="s">
        <v>74</v>
      </c>
      <c r="K236" s="50" t="s">
        <v>301</v>
      </c>
      <c r="L236" s="50" t="s">
        <v>302</v>
      </c>
      <c r="M236" s="50" t="s">
        <v>303</v>
      </c>
      <c r="N236" s="50" t="s">
        <v>304</v>
      </c>
      <c r="O236" s="31" t="s">
        <v>305</v>
      </c>
      <c r="P236" s="31" t="s">
        <v>67</v>
      </c>
      <c r="Q236" s="31" t="s">
        <v>68</v>
      </c>
      <c r="R236" s="31" t="s">
        <v>20</v>
      </c>
      <c r="S236" s="31" t="s">
        <v>452</v>
      </c>
      <c r="T236" s="31" t="s">
        <v>72</v>
      </c>
      <c r="U236" s="31" t="s">
        <v>157</v>
      </c>
      <c r="V236" s="31" t="s">
        <v>155</v>
      </c>
      <c r="W236" s="31" t="s">
        <v>156</v>
      </c>
      <c r="Y236" s="14"/>
      <c r="Z236" s="14"/>
    </row>
    <row r="237" spans="1:26" s="10" customFormat="1" ht="22.5" x14ac:dyDescent="0.25">
      <c r="A237" s="37">
        <v>126</v>
      </c>
      <c r="B237" s="48">
        <v>1585782018</v>
      </c>
      <c r="C237" s="16" t="s">
        <v>368</v>
      </c>
      <c r="D237" s="16" t="s">
        <v>369</v>
      </c>
      <c r="E237" s="19" t="s">
        <v>420</v>
      </c>
      <c r="F237" s="67">
        <v>16</v>
      </c>
      <c r="G237" s="76">
        <v>594.66999999999996</v>
      </c>
      <c r="H237" s="76">
        <f t="shared" ref="H237:H254" si="110">F237*G237</f>
        <v>9514.7199999999993</v>
      </c>
      <c r="I237" s="76"/>
      <c r="J237" s="76"/>
      <c r="K237" s="76">
        <f>VLOOKUP($H$212,Tabisr,1)</f>
        <v>5081.01</v>
      </c>
      <c r="L237" s="72">
        <f t="shared" ref="L237:L245" si="111">+H237-K237</f>
        <v>4433.7099999999991</v>
      </c>
      <c r="M237" s="77">
        <f>VLOOKUP($H$212,Tabisr,4)</f>
        <v>0.21360000000000001</v>
      </c>
      <c r="N237" s="76">
        <f>(H237-5081.01)*21.36%</f>
        <v>947.04045599999972</v>
      </c>
      <c r="O237" s="76">
        <v>538.20000000000005</v>
      </c>
      <c r="P237" s="76">
        <f>N237+O237</f>
        <v>1485.2404559999998</v>
      </c>
      <c r="Q237" s="76">
        <f>VLOOKUP($H$212,Tabsub,3)</f>
        <v>0</v>
      </c>
      <c r="R237" s="76"/>
      <c r="S237" s="76"/>
      <c r="T237" s="76"/>
      <c r="U237" s="76"/>
      <c r="V237" s="72">
        <f t="shared" ref="V237:V242" si="112">H237+I237+J237-P237+Q237-R237-S237-T237-U237</f>
        <v>8029.4795439999998</v>
      </c>
      <c r="W237" s="72">
        <f t="shared" ref="W237:W270" si="113">V237-I237</f>
        <v>8029.4795439999998</v>
      </c>
      <c r="Y237" s="14">
        <f t="shared" ref="Y237:Y270" si="114">+H237+I237+J237+Q237-P237-R237-S237-T237-U237</f>
        <v>8029.4795439999998</v>
      </c>
      <c r="Z237" s="14">
        <f t="shared" ref="Z237:Z270" si="115">+V237-I237</f>
        <v>8029.4795439999998</v>
      </c>
    </row>
    <row r="238" spans="1:26" s="11" customFormat="1" ht="18" x14ac:dyDescent="0.25">
      <c r="A238" s="40">
        <v>127</v>
      </c>
      <c r="B238" s="48">
        <v>1585782026</v>
      </c>
      <c r="C238" s="16" t="s">
        <v>4</v>
      </c>
      <c r="D238" s="241" t="s">
        <v>485</v>
      </c>
      <c r="E238" s="161" t="s">
        <v>116</v>
      </c>
      <c r="F238" s="67">
        <v>16</v>
      </c>
      <c r="G238" s="116">
        <v>393.95</v>
      </c>
      <c r="H238" s="116">
        <f>F238*G238</f>
        <v>6303.2</v>
      </c>
      <c r="I238" s="116">
        <v>400</v>
      </c>
      <c r="J238" s="117"/>
      <c r="K238" s="116">
        <f>VLOOKUP($H$206,Tabisr,1)</f>
        <v>5081.01</v>
      </c>
      <c r="L238" s="117">
        <f>+H238-K238</f>
        <v>1222.1899999999996</v>
      </c>
      <c r="M238" s="118">
        <f>VLOOKUP($H$206,Tabisr,4)</f>
        <v>0.21360000000000001</v>
      </c>
      <c r="N238" s="68">
        <f>+L238*M238</f>
        <v>261.05978399999992</v>
      </c>
      <c r="O238" s="68">
        <f>VLOOKUP($H$206,Tabisr,3)</f>
        <v>538.20000000000005</v>
      </c>
      <c r="P238" s="64">
        <f>+N238+O238</f>
        <v>799.25978399999997</v>
      </c>
      <c r="Q238" s="116"/>
      <c r="R238" s="116"/>
      <c r="S238" s="116"/>
      <c r="T238" s="116"/>
      <c r="U238" s="105"/>
      <c r="V238" s="72">
        <f t="shared" si="112"/>
        <v>5903.940216</v>
      </c>
      <c r="W238" s="70">
        <f t="shared" si="113"/>
        <v>5503.940216</v>
      </c>
      <c r="Y238" s="14">
        <f t="shared" si="114"/>
        <v>5903.940216</v>
      </c>
      <c r="Z238" s="14">
        <f t="shared" si="115"/>
        <v>5503.940216</v>
      </c>
    </row>
    <row r="239" spans="1:26" s="10" customFormat="1" x14ac:dyDescent="0.25">
      <c r="A239" s="37">
        <v>128</v>
      </c>
      <c r="B239" s="48">
        <v>1585782034</v>
      </c>
      <c r="C239" s="16" t="s">
        <v>29</v>
      </c>
      <c r="D239" s="162" t="s">
        <v>163</v>
      </c>
      <c r="E239" s="162" t="s">
        <v>100</v>
      </c>
      <c r="F239" s="67">
        <v>16</v>
      </c>
      <c r="G239" s="68">
        <v>250.29</v>
      </c>
      <c r="H239" s="68">
        <f>F239*G239</f>
        <v>4004.64</v>
      </c>
      <c r="I239" s="68">
        <v>400</v>
      </c>
      <c r="J239" s="68"/>
      <c r="K239" s="68">
        <f>VLOOKUP($H$194,Tabisr,1)</f>
        <v>3651.01</v>
      </c>
      <c r="L239" s="70">
        <f t="shared" si="111"/>
        <v>353.62999999999965</v>
      </c>
      <c r="M239" s="71">
        <f>VLOOKUP($H$194,Tabisr,4)</f>
        <v>0.16</v>
      </c>
      <c r="N239" s="68">
        <f>(H239-3651.01)*16%</f>
        <v>56.580799999999947</v>
      </c>
      <c r="O239" s="68">
        <v>293.25</v>
      </c>
      <c r="P239" s="68">
        <f>N239+O239</f>
        <v>349.83079999999995</v>
      </c>
      <c r="Q239" s="68"/>
      <c r="R239" s="68"/>
      <c r="S239" s="68">
        <v>1061</v>
      </c>
      <c r="T239" s="68"/>
      <c r="U239" s="76"/>
      <c r="V239" s="72">
        <f t="shared" si="112"/>
        <v>2993.8091999999997</v>
      </c>
      <c r="W239" s="70">
        <f t="shared" si="113"/>
        <v>2593.8091999999997</v>
      </c>
      <c r="Y239" s="14">
        <f t="shared" si="114"/>
        <v>2993.8091999999997</v>
      </c>
      <c r="Z239" s="14">
        <f t="shared" si="115"/>
        <v>2593.8091999999997</v>
      </c>
    </row>
    <row r="240" spans="1:26" s="10" customFormat="1" x14ac:dyDescent="0.25">
      <c r="A240" s="40">
        <v>129</v>
      </c>
      <c r="B240" s="48">
        <v>1527053223</v>
      </c>
      <c r="C240" s="16" t="s">
        <v>538</v>
      </c>
      <c r="D240" s="19" t="s">
        <v>163</v>
      </c>
      <c r="E240" s="16" t="s">
        <v>539</v>
      </c>
      <c r="F240" s="67">
        <v>16</v>
      </c>
      <c r="G240" s="76">
        <v>250.29</v>
      </c>
      <c r="H240" s="76">
        <f>F240*G240</f>
        <v>4004.64</v>
      </c>
      <c r="I240" s="76">
        <v>400</v>
      </c>
      <c r="J240" s="76"/>
      <c r="K240" s="76">
        <v>4244.01</v>
      </c>
      <c r="L240" s="72">
        <f>+H240-K240</f>
        <v>-239.37000000000035</v>
      </c>
      <c r="M240" s="77">
        <v>0.1792</v>
      </c>
      <c r="N240" s="68">
        <f>(H240-3651.01)*16%</f>
        <v>56.580799999999947</v>
      </c>
      <c r="O240" s="68">
        <v>293.25</v>
      </c>
      <c r="P240" s="68">
        <f>O240+N240</f>
        <v>349.83079999999995</v>
      </c>
      <c r="Q240" s="76"/>
      <c r="R240" s="76"/>
      <c r="S240" s="76"/>
      <c r="T240" s="76"/>
      <c r="U240" s="76"/>
      <c r="V240" s="72">
        <f t="shared" si="112"/>
        <v>4054.8091999999997</v>
      </c>
      <c r="W240" s="72">
        <f t="shared" si="113"/>
        <v>3654.8091999999997</v>
      </c>
      <c r="Y240" s="14">
        <f t="shared" si="114"/>
        <v>4054.8091999999997</v>
      </c>
      <c r="Z240" s="14">
        <f t="shared" si="115"/>
        <v>3654.8091999999997</v>
      </c>
    </row>
    <row r="241" spans="1:26" s="10" customFormat="1" x14ac:dyDescent="0.25">
      <c r="A241" s="37">
        <v>243</v>
      </c>
      <c r="B241" s="48">
        <v>1503512688</v>
      </c>
      <c r="C241" s="16" t="s">
        <v>667</v>
      </c>
      <c r="D241" s="19" t="s">
        <v>175</v>
      </c>
      <c r="E241" s="16" t="s">
        <v>668</v>
      </c>
      <c r="F241" s="67">
        <v>16</v>
      </c>
      <c r="G241" s="64">
        <v>296.54000000000002</v>
      </c>
      <c r="H241" s="76">
        <f>F241*G241</f>
        <v>4744.6400000000003</v>
      </c>
      <c r="I241" s="76">
        <v>400</v>
      </c>
      <c r="J241" s="76"/>
      <c r="K241" s="76">
        <v>4244.01</v>
      </c>
      <c r="L241" s="72">
        <f>+H241-K241</f>
        <v>500.63000000000011</v>
      </c>
      <c r="M241" s="77">
        <v>0.1792</v>
      </c>
      <c r="N241" s="76">
        <f>(H241-3651.01)*16%</f>
        <v>174.98080000000002</v>
      </c>
      <c r="O241" s="76">
        <v>293.25</v>
      </c>
      <c r="P241" s="76">
        <v>424.62</v>
      </c>
      <c r="Q241" s="76"/>
      <c r="R241" s="76">
        <v>1050</v>
      </c>
      <c r="S241" s="76"/>
      <c r="T241" s="76"/>
      <c r="U241" s="76"/>
      <c r="V241" s="72">
        <f t="shared" si="112"/>
        <v>3670.0200000000004</v>
      </c>
      <c r="W241" s="72">
        <f t="shared" ref="W241" si="116">V241-I241</f>
        <v>3270.0200000000004</v>
      </c>
      <c r="X241" s="12"/>
      <c r="Y241" s="14">
        <f t="shared" ref="Y241" si="117">+H241+I241+J241+Q241-P241-R241-S241-T241-U241</f>
        <v>3670.0200000000004</v>
      </c>
      <c r="Z241" s="14">
        <f t="shared" ref="Z241" si="118">+V241-I241</f>
        <v>3270.0200000000004</v>
      </c>
    </row>
    <row r="242" spans="1:26" s="10" customFormat="1" x14ac:dyDescent="0.25">
      <c r="A242" s="37">
        <v>130</v>
      </c>
      <c r="B242" s="48">
        <v>1588365418</v>
      </c>
      <c r="C242" s="16" t="s">
        <v>43</v>
      </c>
      <c r="D242" s="16" t="s">
        <v>257</v>
      </c>
      <c r="E242" s="19" t="s">
        <v>117</v>
      </c>
      <c r="F242" s="67">
        <v>16</v>
      </c>
      <c r="G242" s="76">
        <v>241</v>
      </c>
      <c r="H242" s="76">
        <f t="shared" si="110"/>
        <v>3856</v>
      </c>
      <c r="I242" s="76">
        <v>400</v>
      </c>
      <c r="J242" s="264"/>
      <c r="K242" s="76">
        <f>VLOOKUP($H$242,Tabisr,1)</f>
        <v>3651.01</v>
      </c>
      <c r="L242" s="72">
        <f t="shared" si="111"/>
        <v>204.98999999999978</v>
      </c>
      <c r="M242" s="77">
        <f>VLOOKUP($H$242,Tabisr,4)</f>
        <v>0.16</v>
      </c>
      <c r="N242" s="76">
        <f>(H242-2077.51)*10.88%</f>
        <v>193.49971199999999</v>
      </c>
      <c r="O242" s="76">
        <v>121.95</v>
      </c>
      <c r="P242" s="76">
        <f>O242+N242</f>
        <v>315.44971199999998</v>
      </c>
      <c r="Q242" s="76">
        <f t="shared" ref="Q242:Q251" si="119">VLOOKUP($H$242,Tabsub,3)</f>
        <v>0</v>
      </c>
      <c r="R242" s="76"/>
      <c r="S242" s="76"/>
      <c r="T242" s="76"/>
      <c r="U242" s="76"/>
      <c r="V242" s="72">
        <f t="shared" si="112"/>
        <v>3940.5502879999999</v>
      </c>
      <c r="W242" s="72">
        <f t="shared" si="113"/>
        <v>3540.5502879999999</v>
      </c>
      <c r="Y242" s="14">
        <f>+H242+I242+J244+Q242-P242-R242-S242-T242-U242</f>
        <v>3940.5502879999999</v>
      </c>
      <c r="Z242" s="14">
        <f t="shared" si="115"/>
        <v>3540.5502879999999</v>
      </c>
    </row>
    <row r="243" spans="1:26" s="10" customFormat="1" x14ac:dyDescent="0.25">
      <c r="A243" s="40">
        <v>131</v>
      </c>
      <c r="B243" s="48">
        <v>1585782044</v>
      </c>
      <c r="C243" s="16" t="s">
        <v>44</v>
      </c>
      <c r="D243" s="161" t="s">
        <v>257</v>
      </c>
      <c r="E243" s="162" t="s">
        <v>118</v>
      </c>
      <c r="F243" s="67">
        <v>16</v>
      </c>
      <c r="G243" s="68">
        <v>241</v>
      </c>
      <c r="H243" s="68">
        <f t="shared" si="110"/>
        <v>3856</v>
      </c>
      <c r="I243" s="68">
        <v>400</v>
      </c>
      <c r="J243" s="264"/>
      <c r="K243" s="68">
        <f>VLOOKUP($H$243,Tabisr,1)</f>
        <v>3651.01</v>
      </c>
      <c r="L243" s="70">
        <f t="shared" si="111"/>
        <v>204.98999999999978</v>
      </c>
      <c r="M243" s="71">
        <f>VLOOKUP($H$243,Tabisr,4)</f>
        <v>0.16</v>
      </c>
      <c r="N243" s="68">
        <f>(H243-2077.51)*10.88%</f>
        <v>193.49971199999999</v>
      </c>
      <c r="O243" s="68">
        <v>121.95</v>
      </c>
      <c r="P243" s="68">
        <f>O243+N243</f>
        <v>315.44971199999998</v>
      </c>
      <c r="Q243" s="68">
        <f t="shared" si="119"/>
        <v>0</v>
      </c>
      <c r="R243" s="68"/>
      <c r="S243" s="68"/>
      <c r="T243" s="68"/>
      <c r="U243" s="76"/>
      <c r="V243" s="72">
        <f t="shared" ref="V243:V270" si="120">H243+I243+J243-P243+Q243-R243-S243-T243-U243</f>
        <v>3940.5502879999999</v>
      </c>
      <c r="W243" s="70">
        <f t="shared" si="113"/>
        <v>3540.5502879999999</v>
      </c>
      <c r="Y243" s="14">
        <f t="shared" si="114"/>
        <v>3940.5502879999999</v>
      </c>
      <c r="Z243" s="14">
        <f t="shared" si="115"/>
        <v>3540.5502879999999</v>
      </c>
    </row>
    <row r="244" spans="1:26" s="10" customFormat="1" x14ac:dyDescent="0.25">
      <c r="A244" s="37">
        <v>132</v>
      </c>
      <c r="B244" s="48">
        <v>1585782051</v>
      </c>
      <c r="C244" s="16" t="s">
        <v>70</v>
      </c>
      <c r="D244" s="161" t="s">
        <v>257</v>
      </c>
      <c r="E244" s="162" t="s">
        <v>119</v>
      </c>
      <c r="F244" s="67">
        <v>16</v>
      </c>
      <c r="G244" s="68">
        <v>241</v>
      </c>
      <c r="H244" s="68">
        <f t="shared" si="110"/>
        <v>3856</v>
      </c>
      <c r="I244" s="68">
        <v>400</v>
      </c>
      <c r="J244" s="265"/>
      <c r="K244" s="68">
        <f>VLOOKUP($H$244,Tabisr,1)</f>
        <v>3651.01</v>
      </c>
      <c r="L244" s="70">
        <f t="shared" si="111"/>
        <v>204.98999999999978</v>
      </c>
      <c r="M244" s="71">
        <f>VLOOKUP($H$244,Tabisr,4)</f>
        <v>0.16</v>
      </c>
      <c r="N244" s="68">
        <f>(H244-2077.51)*10.88%</f>
        <v>193.49971199999999</v>
      </c>
      <c r="O244" s="68">
        <v>121.95</v>
      </c>
      <c r="P244" s="68">
        <f>O244+N244</f>
        <v>315.44971199999998</v>
      </c>
      <c r="Q244" s="68">
        <f t="shared" si="119"/>
        <v>0</v>
      </c>
      <c r="R244" s="68">
        <v>1000</v>
      </c>
      <c r="S244" s="68"/>
      <c r="T244" s="68"/>
      <c r="U244" s="76">
        <v>300</v>
      </c>
      <c r="V244" s="72">
        <f t="shared" ref="V244" si="121">H244+I244+J244-P244+Q244-R244-S244-T244-U244</f>
        <v>2640.5502879999999</v>
      </c>
      <c r="W244" s="70">
        <f t="shared" ref="W244" si="122">V244-I244</f>
        <v>2240.5502879999999</v>
      </c>
      <c r="Y244" s="14">
        <f t="shared" ref="Y244" si="123">+H244+I244+J244+Q244-P244-R244-S244-T244-U244</f>
        <v>2640.5502879999999</v>
      </c>
      <c r="Z244" s="14">
        <f t="shared" ref="Z244" si="124">+V244-I244</f>
        <v>2240.5502879999999</v>
      </c>
    </row>
    <row r="245" spans="1:26" s="10" customFormat="1" x14ac:dyDescent="0.25">
      <c r="A245" s="40">
        <v>133</v>
      </c>
      <c r="B245" s="48">
        <v>1585782069</v>
      </c>
      <c r="C245" s="16" t="s">
        <v>267</v>
      </c>
      <c r="D245" s="161" t="s">
        <v>257</v>
      </c>
      <c r="E245" s="162" t="s">
        <v>238</v>
      </c>
      <c r="F245" s="67">
        <v>16</v>
      </c>
      <c r="G245" s="68">
        <v>241</v>
      </c>
      <c r="H245" s="68">
        <f t="shared" si="110"/>
        <v>3856</v>
      </c>
      <c r="I245" s="68">
        <v>400</v>
      </c>
      <c r="J245" s="265"/>
      <c r="K245" s="68">
        <f>VLOOKUP($H$245,Tabisr,1)</f>
        <v>3651.01</v>
      </c>
      <c r="L245" s="70">
        <f t="shared" si="111"/>
        <v>204.98999999999978</v>
      </c>
      <c r="M245" s="71">
        <f>VLOOKUP($H$245,Tabisr,4)</f>
        <v>0.16</v>
      </c>
      <c r="N245" s="68">
        <f>(H245-2077.51)*10.88%</f>
        <v>193.49971199999999</v>
      </c>
      <c r="O245" s="68">
        <v>121.95</v>
      </c>
      <c r="P245" s="68">
        <f>O245+N245</f>
        <v>315.44971199999998</v>
      </c>
      <c r="Q245" s="68">
        <f t="shared" si="119"/>
        <v>0</v>
      </c>
      <c r="R245" s="68"/>
      <c r="S245" s="68"/>
      <c r="T245" s="68"/>
      <c r="U245" s="76"/>
      <c r="V245" s="72">
        <f t="shared" si="120"/>
        <v>3940.5502879999999</v>
      </c>
      <c r="W245" s="70">
        <f t="shared" si="113"/>
        <v>3540.5502879999999</v>
      </c>
      <c r="Y245" s="14">
        <f t="shared" si="114"/>
        <v>3940.5502879999999</v>
      </c>
      <c r="Z245" s="14">
        <f t="shared" si="115"/>
        <v>3540.5502879999999</v>
      </c>
    </row>
    <row r="246" spans="1:26" s="10" customFormat="1" x14ac:dyDescent="0.25">
      <c r="A246" s="37">
        <v>134</v>
      </c>
      <c r="B246" s="48">
        <v>1585782077</v>
      </c>
      <c r="C246" s="16" t="s">
        <v>307</v>
      </c>
      <c r="D246" s="161" t="s">
        <v>218</v>
      </c>
      <c r="E246" s="162" t="s">
        <v>306</v>
      </c>
      <c r="F246" s="67">
        <v>16</v>
      </c>
      <c r="G246" s="68">
        <v>296.54000000000002</v>
      </c>
      <c r="H246" s="68">
        <f>F246*G246</f>
        <v>4744.6400000000003</v>
      </c>
      <c r="I246" s="68">
        <v>400</v>
      </c>
      <c r="J246" s="154"/>
      <c r="K246" s="68">
        <f>VLOOKUP($H$336,Tabisr,1)</f>
        <v>4244.01</v>
      </c>
      <c r="L246" s="70">
        <f t="shared" ref="L246:L254" si="125">+H246-K246</f>
        <v>500.63000000000011</v>
      </c>
      <c r="M246" s="71">
        <f>VLOOKUP($H$336,Tabisr,4)</f>
        <v>0.1792</v>
      </c>
      <c r="N246" s="68">
        <f>(H246-4244.01)*17.92%</f>
        <v>89.712896000000029</v>
      </c>
      <c r="O246" s="68">
        <v>388.05</v>
      </c>
      <c r="P246" s="68">
        <f>N246+O246</f>
        <v>477.76289600000007</v>
      </c>
      <c r="Q246" s="68"/>
      <c r="R246" s="68"/>
      <c r="S246" s="68"/>
      <c r="T246" s="68"/>
      <c r="U246" s="76"/>
      <c r="V246" s="72">
        <f t="shared" si="120"/>
        <v>4666.8771040000001</v>
      </c>
      <c r="W246" s="70">
        <f t="shared" si="113"/>
        <v>4266.8771040000001</v>
      </c>
      <c r="Y246" s="14">
        <f t="shared" si="114"/>
        <v>4666.8771040000001</v>
      </c>
      <c r="Z246" s="14">
        <f t="shared" si="115"/>
        <v>4266.8771040000001</v>
      </c>
    </row>
    <row r="247" spans="1:26" s="10" customFormat="1" x14ac:dyDescent="0.25">
      <c r="A247" s="40">
        <v>135</v>
      </c>
      <c r="B247" s="48">
        <v>1585782085</v>
      </c>
      <c r="C247" s="16" t="s">
        <v>534</v>
      </c>
      <c r="D247" s="16" t="s">
        <v>166</v>
      </c>
      <c r="E247" s="19" t="s">
        <v>535</v>
      </c>
      <c r="F247" s="67">
        <v>16</v>
      </c>
      <c r="G247" s="68">
        <v>241</v>
      </c>
      <c r="H247" s="68">
        <f>F247*G247</f>
        <v>3856</v>
      </c>
      <c r="I247" s="68">
        <v>400</v>
      </c>
      <c r="J247" s="154"/>
      <c r="K247" s="68">
        <f>VLOOKUP($H$246,Tabisr,1)</f>
        <v>4244.01</v>
      </c>
      <c r="L247" s="70">
        <f t="shared" si="125"/>
        <v>-388.01000000000022</v>
      </c>
      <c r="M247" s="71">
        <f>VLOOKUP($H$246,Tabisr,4)</f>
        <v>0.1792</v>
      </c>
      <c r="N247" s="68">
        <f>(H247-2077.51)*10.88%</f>
        <v>193.49971199999999</v>
      </c>
      <c r="O247" s="68">
        <v>121.95</v>
      </c>
      <c r="P247" s="68">
        <f>O247+N247</f>
        <v>315.44971199999998</v>
      </c>
      <c r="Q247" s="68">
        <f t="shared" si="119"/>
        <v>0</v>
      </c>
      <c r="R247" s="68">
        <v>1410</v>
      </c>
      <c r="S247" s="68"/>
      <c r="T247" s="68"/>
      <c r="U247" s="76"/>
      <c r="V247" s="72">
        <f t="shared" si="120"/>
        <v>2530.5502879999999</v>
      </c>
      <c r="W247" s="70">
        <f t="shared" si="113"/>
        <v>2130.5502879999999</v>
      </c>
      <c r="Y247" s="14">
        <f t="shared" si="114"/>
        <v>2530.5502879999999</v>
      </c>
      <c r="Z247" s="14">
        <f t="shared" si="115"/>
        <v>2130.5502879999999</v>
      </c>
    </row>
    <row r="248" spans="1:26" s="10" customFormat="1" x14ac:dyDescent="0.25">
      <c r="A248" s="37">
        <v>136</v>
      </c>
      <c r="B248" s="48">
        <v>1585782093</v>
      </c>
      <c r="C248" s="16" t="s">
        <v>550</v>
      </c>
      <c r="D248" s="16" t="s">
        <v>166</v>
      </c>
      <c r="E248" s="19" t="s">
        <v>551</v>
      </c>
      <c r="F248" s="67">
        <v>16</v>
      </c>
      <c r="G248" s="76">
        <v>241</v>
      </c>
      <c r="H248" s="76">
        <f>F248*G248</f>
        <v>3856</v>
      </c>
      <c r="I248" s="76">
        <v>400</v>
      </c>
      <c r="J248" s="154"/>
      <c r="K248" s="76">
        <f>VLOOKUP($H$246,Tabisr,1)</f>
        <v>4244.01</v>
      </c>
      <c r="L248" s="72">
        <f t="shared" si="125"/>
        <v>-388.01000000000022</v>
      </c>
      <c r="M248" s="77">
        <f>VLOOKUP($H$246,Tabisr,4)</f>
        <v>0.1792</v>
      </c>
      <c r="N248" s="76">
        <f>(H248-2077.51)*10.88%</f>
        <v>193.49971199999999</v>
      </c>
      <c r="O248" s="76">
        <v>121.95</v>
      </c>
      <c r="P248" s="76">
        <f>O248+N248</f>
        <v>315.44971199999998</v>
      </c>
      <c r="Q248" s="76">
        <f t="shared" si="119"/>
        <v>0</v>
      </c>
      <c r="R248" s="76"/>
      <c r="S248" s="76"/>
      <c r="T248" s="76"/>
      <c r="U248" s="76"/>
      <c r="V248" s="72">
        <f t="shared" si="120"/>
        <v>3940.5502879999999</v>
      </c>
      <c r="W248" s="72">
        <f t="shared" si="113"/>
        <v>3540.5502879999999</v>
      </c>
      <c r="Y248" s="14">
        <f t="shared" si="114"/>
        <v>3940.5502879999999</v>
      </c>
      <c r="Z248" s="14">
        <f t="shared" si="115"/>
        <v>3540.5502879999999</v>
      </c>
    </row>
    <row r="249" spans="1:26" s="10" customFormat="1" x14ac:dyDescent="0.25">
      <c r="A249" s="40">
        <v>137</v>
      </c>
      <c r="B249" s="48">
        <v>1585782107</v>
      </c>
      <c r="C249" s="16" t="s">
        <v>380</v>
      </c>
      <c r="D249" s="16" t="s">
        <v>166</v>
      </c>
      <c r="E249" s="21" t="s">
        <v>381</v>
      </c>
      <c r="F249" s="67">
        <v>16</v>
      </c>
      <c r="G249" s="107">
        <v>250.29</v>
      </c>
      <c r="H249" s="76">
        <f>F249*G249</f>
        <v>4004.64</v>
      </c>
      <c r="I249" s="76">
        <v>400</v>
      </c>
      <c r="J249" s="216"/>
      <c r="K249" s="76">
        <f>VLOOKUP($H$292,Tabisr,1)</f>
        <v>3651.01</v>
      </c>
      <c r="L249" s="72">
        <f t="shared" si="125"/>
        <v>353.62999999999965</v>
      </c>
      <c r="M249" s="77">
        <f>VLOOKUP($H$292,Tabisr,4)</f>
        <v>0.16</v>
      </c>
      <c r="N249" s="76">
        <f>(H249-3651.01)*16%</f>
        <v>56.580799999999947</v>
      </c>
      <c r="O249" s="76">
        <v>293.25</v>
      </c>
      <c r="P249" s="76">
        <f>N249+O249</f>
        <v>349.83079999999995</v>
      </c>
      <c r="Q249" s="76">
        <f>VLOOKUP($H$292,Tabsub,3)</f>
        <v>0</v>
      </c>
      <c r="R249" s="64"/>
      <c r="S249" s="64"/>
      <c r="T249" s="87"/>
      <c r="U249" s="87"/>
      <c r="V249" s="72">
        <f t="shared" si="120"/>
        <v>4054.8091999999997</v>
      </c>
      <c r="W249" s="72">
        <f t="shared" si="113"/>
        <v>3654.8091999999997</v>
      </c>
      <c r="Y249" s="14">
        <f t="shared" si="114"/>
        <v>4054.8091999999997</v>
      </c>
      <c r="Z249" s="14">
        <f t="shared" si="115"/>
        <v>3654.8091999999997</v>
      </c>
    </row>
    <row r="250" spans="1:26" s="10" customFormat="1" x14ac:dyDescent="0.25">
      <c r="A250" s="37">
        <v>138</v>
      </c>
      <c r="B250" s="48">
        <v>1585782132</v>
      </c>
      <c r="C250" s="171" t="s">
        <v>463</v>
      </c>
      <c r="D250" s="180" t="s">
        <v>638</v>
      </c>
      <c r="E250" s="162" t="s">
        <v>464</v>
      </c>
      <c r="F250" s="67">
        <v>16</v>
      </c>
      <c r="G250" s="100">
        <v>393.95</v>
      </c>
      <c r="H250" s="68">
        <f>F250*G250</f>
        <v>6303.2</v>
      </c>
      <c r="I250" s="68">
        <v>400</v>
      </c>
      <c r="J250" s="265"/>
      <c r="K250" s="68">
        <f>VLOOKUP($H$206,Tabisr,1)</f>
        <v>5081.01</v>
      </c>
      <c r="L250" s="70">
        <f>+H250-K250</f>
        <v>1222.1899999999996</v>
      </c>
      <c r="M250" s="71">
        <f>VLOOKUP($H$206,Tabisr,4)</f>
        <v>0.21360000000000001</v>
      </c>
      <c r="N250" s="68">
        <f>+L250*M250</f>
        <v>261.05978399999992</v>
      </c>
      <c r="O250" s="68">
        <f>VLOOKUP($H$206,Tabisr,3)</f>
        <v>538.20000000000005</v>
      </c>
      <c r="P250" s="68">
        <f>+N250+O250</f>
        <v>799.25978399999997</v>
      </c>
      <c r="Q250" s="68"/>
      <c r="R250" s="68"/>
      <c r="S250" s="68">
        <v>1373</v>
      </c>
      <c r="T250" s="68"/>
      <c r="U250" s="76"/>
      <c r="V250" s="72">
        <f t="shared" si="120"/>
        <v>4530.940216</v>
      </c>
      <c r="W250" s="70">
        <f t="shared" si="113"/>
        <v>4130.940216</v>
      </c>
      <c r="Y250" s="14">
        <f t="shared" si="114"/>
        <v>4530.940216</v>
      </c>
      <c r="Z250" s="14">
        <f t="shared" si="115"/>
        <v>4130.940216</v>
      </c>
    </row>
    <row r="251" spans="1:26" s="10" customFormat="1" x14ac:dyDescent="0.25">
      <c r="A251" s="40">
        <v>139</v>
      </c>
      <c r="B251" s="48">
        <v>1585782115</v>
      </c>
      <c r="C251" s="16" t="s">
        <v>41</v>
      </c>
      <c r="D251" s="161" t="s">
        <v>258</v>
      </c>
      <c r="E251" s="162" t="s">
        <v>114</v>
      </c>
      <c r="F251" s="67">
        <v>16</v>
      </c>
      <c r="G251" s="68">
        <v>247.5</v>
      </c>
      <c r="H251" s="68">
        <f t="shared" si="110"/>
        <v>3960</v>
      </c>
      <c r="I251" s="68">
        <v>400</v>
      </c>
      <c r="J251" s="68"/>
      <c r="K251" s="68">
        <f>VLOOKUP($H$251,Tabisr,1)</f>
        <v>3651.01</v>
      </c>
      <c r="L251" s="70">
        <f t="shared" si="125"/>
        <v>308.98999999999978</v>
      </c>
      <c r="M251" s="71">
        <f>VLOOKUP($H$251,Tabisr,4)</f>
        <v>0.16</v>
      </c>
      <c r="N251" s="68">
        <f>(H251-2077.51)*10.88%-37.95</f>
        <v>166.864912</v>
      </c>
      <c r="O251" s="68">
        <v>121.95</v>
      </c>
      <c r="P251" s="68">
        <f t="shared" ref="P251:P266" si="126">O251+N251</f>
        <v>288.81491199999999</v>
      </c>
      <c r="Q251" s="68">
        <f t="shared" si="119"/>
        <v>0</v>
      </c>
      <c r="R251" s="68">
        <v>750</v>
      </c>
      <c r="S251" s="68"/>
      <c r="T251" s="68"/>
      <c r="U251" s="76"/>
      <c r="V251" s="72">
        <f t="shared" si="120"/>
        <v>3321.1850880000002</v>
      </c>
      <c r="W251" s="70">
        <f t="shared" si="113"/>
        <v>2921.1850880000002</v>
      </c>
      <c r="Y251" s="14">
        <f t="shared" si="114"/>
        <v>3321.1850880000002</v>
      </c>
      <c r="Z251" s="14">
        <f t="shared" si="115"/>
        <v>2921.1850880000002</v>
      </c>
    </row>
    <row r="252" spans="1:26" s="10" customFormat="1" x14ac:dyDescent="0.25">
      <c r="A252" s="37">
        <v>140</v>
      </c>
      <c r="B252" s="48">
        <v>1585782123</v>
      </c>
      <c r="C252" s="171" t="s">
        <v>147</v>
      </c>
      <c r="D252" s="180" t="s">
        <v>182</v>
      </c>
      <c r="E252" s="162" t="s">
        <v>151</v>
      </c>
      <c r="F252" s="67">
        <v>16</v>
      </c>
      <c r="G252" s="100">
        <v>247.5</v>
      </c>
      <c r="H252" s="68">
        <f t="shared" si="110"/>
        <v>3960</v>
      </c>
      <c r="I252" s="68">
        <v>400</v>
      </c>
      <c r="J252" s="68"/>
      <c r="K252" s="68">
        <f>VLOOKUP($H$252,Tabisr,1)</f>
        <v>3651.01</v>
      </c>
      <c r="L252" s="70">
        <f t="shared" si="125"/>
        <v>308.98999999999978</v>
      </c>
      <c r="M252" s="71">
        <f>VLOOKUP($H$252,Tabisr,4)</f>
        <v>0.16</v>
      </c>
      <c r="N252" s="68">
        <f t="shared" ref="N252:N257" si="127">(H252-3651.01)*16%</f>
        <v>49.438399999999966</v>
      </c>
      <c r="O252" s="68">
        <v>293.25</v>
      </c>
      <c r="P252" s="68">
        <f t="shared" si="126"/>
        <v>342.68839999999994</v>
      </c>
      <c r="Q252" s="68"/>
      <c r="R252" s="68">
        <v>1200</v>
      </c>
      <c r="S252" s="68"/>
      <c r="T252" s="68"/>
      <c r="U252" s="76"/>
      <c r="V252" s="72">
        <f t="shared" si="120"/>
        <v>2817.3116</v>
      </c>
      <c r="W252" s="70">
        <f t="shared" si="113"/>
        <v>2417.3116</v>
      </c>
      <c r="Y252" s="14">
        <f t="shared" si="114"/>
        <v>2817.3116</v>
      </c>
      <c r="Z252" s="14">
        <f t="shared" si="115"/>
        <v>2417.3116</v>
      </c>
    </row>
    <row r="253" spans="1:26" s="10" customFormat="1" x14ac:dyDescent="0.25">
      <c r="A253" s="40">
        <v>141</v>
      </c>
      <c r="B253" s="48">
        <v>1585782140</v>
      </c>
      <c r="C253" s="171" t="s">
        <v>153</v>
      </c>
      <c r="D253" s="180" t="s">
        <v>182</v>
      </c>
      <c r="E253" s="162" t="s">
        <v>154</v>
      </c>
      <c r="F253" s="67">
        <v>16</v>
      </c>
      <c r="G253" s="100">
        <v>247.5</v>
      </c>
      <c r="H253" s="68">
        <f t="shared" si="110"/>
        <v>3960</v>
      </c>
      <c r="I253" s="68">
        <v>400</v>
      </c>
      <c r="J253" s="33"/>
      <c r="K253" s="68">
        <f>VLOOKUP($H$253,Tabisr,1)</f>
        <v>3651.01</v>
      </c>
      <c r="L253" s="70">
        <f t="shared" si="125"/>
        <v>308.98999999999978</v>
      </c>
      <c r="M253" s="71">
        <f>VLOOKUP($H$253,Tabisr,4)</f>
        <v>0.16</v>
      </c>
      <c r="N253" s="68">
        <f t="shared" si="127"/>
        <v>49.438399999999966</v>
      </c>
      <c r="O253" s="68">
        <v>293.25</v>
      </c>
      <c r="P253" s="68">
        <f t="shared" si="126"/>
        <v>342.68839999999994</v>
      </c>
      <c r="Q253" s="68">
        <f>VLOOKUP($H$253,Tabsub,3)</f>
        <v>0</v>
      </c>
      <c r="R253" s="76"/>
      <c r="S253" s="76"/>
      <c r="T253" s="68"/>
      <c r="U253" s="76"/>
      <c r="V253" s="72">
        <f t="shared" si="120"/>
        <v>4017.3116</v>
      </c>
      <c r="W253" s="70">
        <f t="shared" si="113"/>
        <v>3617.3116</v>
      </c>
      <c r="Y253" s="14">
        <f t="shared" si="114"/>
        <v>4017.3116</v>
      </c>
      <c r="Z253" s="14">
        <f t="shared" si="115"/>
        <v>3617.3116</v>
      </c>
    </row>
    <row r="254" spans="1:26" s="10" customFormat="1" ht="24.75" x14ac:dyDescent="0.25">
      <c r="A254" s="37">
        <v>142</v>
      </c>
      <c r="B254" s="48">
        <v>1585782158</v>
      </c>
      <c r="C254" s="16" t="s">
        <v>75</v>
      </c>
      <c r="D254" s="242" t="s">
        <v>179</v>
      </c>
      <c r="E254" s="162" t="s">
        <v>77</v>
      </c>
      <c r="F254" s="67">
        <v>16</v>
      </c>
      <c r="G254" s="68">
        <v>247.5</v>
      </c>
      <c r="H254" s="68">
        <f t="shared" si="110"/>
        <v>3960</v>
      </c>
      <c r="I254" s="68">
        <v>400</v>
      </c>
      <c r="J254" s="68"/>
      <c r="K254" s="68">
        <f>VLOOKUP($H$254,Tabisr,1)</f>
        <v>3651.01</v>
      </c>
      <c r="L254" s="70">
        <f t="shared" si="125"/>
        <v>308.98999999999978</v>
      </c>
      <c r="M254" s="71">
        <f>VLOOKUP($H$254,Tabisr,4)</f>
        <v>0.16</v>
      </c>
      <c r="N254" s="68">
        <f t="shared" si="127"/>
        <v>49.438399999999966</v>
      </c>
      <c r="O254" s="68">
        <v>293.25</v>
      </c>
      <c r="P254" s="68">
        <f t="shared" si="126"/>
        <v>342.68839999999994</v>
      </c>
      <c r="Q254" s="68">
        <f>VLOOKUP($H$254,Tabsub,3)</f>
        <v>0</v>
      </c>
      <c r="R254" s="76"/>
      <c r="S254" s="76"/>
      <c r="T254" s="68"/>
      <c r="U254" s="76"/>
      <c r="V254" s="72">
        <f t="shared" si="120"/>
        <v>4017.3116</v>
      </c>
      <c r="W254" s="70">
        <f t="shared" si="113"/>
        <v>3617.3116</v>
      </c>
      <c r="Y254" s="14">
        <f t="shared" si="114"/>
        <v>4017.3116</v>
      </c>
      <c r="Z254" s="14">
        <f t="shared" si="115"/>
        <v>3617.3116</v>
      </c>
    </row>
    <row r="255" spans="1:26" s="10" customFormat="1" x14ac:dyDescent="0.25">
      <c r="A255" s="40">
        <v>143</v>
      </c>
      <c r="B255" s="48">
        <v>1585782166</v>
      </c>
      <c r="C255" s="16" t="s">
        <v>10</v>
      </c>
      <c r="D255" s="168" t="s">
        <v>227</v>
      </c>
      <c r="E255" s="19" t="s">
        <v>133</v>
      </c>
      <c r="F255" s="67">
        <v>16</v>
      </c>
      <c r="G255" s="76">
        <v>251.24</v>
      </c>
      <c r="H255" s="76">
        <f t="shared" ref="H255:H261" si="128">F255*G255</f>
        <v>4019.84</v>
      </c>
      <c r="I255" s="76">
        <v>400</v>
      </c>
      <c r="J255" s="76"/>
      <c r="K255" s="76">
        <f>VLOOKUP($H$255,Tabisr,1)</f>
        <v>3651.01</v>
      </c>
      <c r="L255" s="72">
        <f t="shared" ref="L255:L270" si="129">+H255-K255</f>
        <v>368.82999999999993</v>
      </c>
      <c r="M255" s="77">
        <f>VLOOKUP($H$255,Tabisr,4)</f>
        <v>0.16</v>
      </c>
      <c r="N255" s="68">
        <f t="shared" si="127"/>
        <v>59.012799999999991</v>
      </c>
      <c r="O255" s="68">
        <v>293.25</v>
      </c>
      <c r="P255" s="68">
        <f t="shared" si="126"/>
        <v>352.26279999999997</v>
      </c>
      <c r="Q255" s="76">
        <f>VLOOKUP($H$255,Tabsub,3)</f>
        <v>0</v>
      </c>
      <c r="R255" s="76"/>
      <c r="S255" s="76">
        <v>1877</v>
      </c>
      <c r="T255" s="76"/>
      <c r="U255" s="76"/>
      <c r="V255" s="72">
        <f t="shared" si="120"/>
        <v>2190.5772000000002</v>
      </c>
      <c r="W255" s="70">
        <f t="shared" si="113"/>
        <v>1790.5772000000002</v>
      </c>
      <c r="Y255" s="14">
        <f t="shared" si="114"/>
        <v>2190.5772000000002</v>
      </c>
      <c r="Z255" s="14">
        <f t="shared" si="115"/>
        <v>1790.5772000000002</v>
      </c>
    </row>
    <row r="256" spans="1:26" x14ac:dyDescent="0.25">
      <c r="A256" s="37">
        <v>144</v>
      </c>
      <c r="B256" s="48">
        <v>1585782409</v>
      </c>
      <c r="C256" s="180" t="s">
        <v>327</v>
      </c>
      <c r="D256" s="181" t="s">
        <v>646</v>
      </c>
      <c r="E256" s="162" t="s">
        <v>328</v>
      </c>
      <c r="F256" s="67">
        <v>16</v>
      </c>
      <c r="G256" s="100">
        <v>258.18</v>
      </c>
      <c r="H256" s="68">
        <f t="shared" si="128"/>
        <v>4130.88</v>
      </c>
      <c r="I256" s="68">
        <v>400</v>
      </c>
      <c r="J256" s="76"/>
      <c r="K256" s="68">
        <f>VLOOKUP($H$305,Tabisr,1)</f>
        <v>3651.01</v>
      </c>
      <c r="L256" s="70">
        <f t="shared" si="129"/>
        <v>479.86999999999989</v>
      </c>
      <c r="M256" s="71">
        <f>VLOOKUP($H$305,Tabisr,4)</f>
        <v>0.16</v>
      </c>
      <c r="N256" s="68">
        <f>(H256-3651.01)*16%</f>
        <v>76.779199999999989</v>
      </c>
      <c r="O256" s="76">
        <v>293.25</v>
      </c>
      <c r="P256" s="68">
        <f>N256+O256</f>
        <v>370.0292</v>
      </c>
      <c r="Q256" s="68">
        <f>VLOOKUP($H$305,Tabsub,3)</f>
        <v>0</v>
      </c>
      <c r="R256" s="68"/>
      <c r="S256" s="68">
        <v>685</v>
      </c>
      <c r="T256" s="68"/>
      <c r="U256" s="68"/>
      <c r="V256" s="72">
        <f t="shared" si="120"/>
        <v>3475.8508000000002</v>
      </c>
      <c r="W256" s="72">
        <f t="shared" si="113"/>
        <v>3075.8508000000002</v>
      </c>
      <c r="Y256" s="14">
        <f t="shared" si="114"/>
        <v>3475.8508000000002</v>
      </c>
      <c r="Z256" s="14">
        <f t="shared" si="115"/>
        <v>3075.8508000000002</v>
      </c>
    </row>
    <row r="257" spans="1:26" s="10" customFormat="1" x14ac:dyDescent="0.25">
      <c r="A257" s="40">
        <v>145</v>
      </c>
      <c r="B257" s="48">
        <v>1585782184</v>
      </c>
      <c r="C257" s="16" t="s">
        <v>53</v>
      </c>
      <c r="D257" s="16" t="s">
        <v>175</v>
      </c>
      <c r="E257" s="19" t="s">
        <v>135</v>
      </c>
      <c r="F257" s="67">
        <v>16</v>
      </c>
      <c r="G257" s="76">
        <v>251.24</v>
      </c>
      <c r="H257" s="76">
        <f t="shared" si="128"/>
        <v>4019.84</v>
      </c>
      <c r="I257" s="76">
        <v>400</v>
      </c>
      <c r="J257" s="76"/>
      <c r="K257" s="76">
        <f>VLOOKUP($H$257,Tabisr,1)</f>
        <v>3651.01</v>
      </c>
      <c r="L257" s="72">
        <f t="shared" si="129"/>
        <v>368.82999999999993</v>
      </c>
      <c r="M257" s="77">
        <f>VLOOKUP($H$257,Tabisr,4)</f>
        <v>0.16</v>
      </c>
      <c r="N257" s="68">
        <f t="shared" si="127"/>
        <v>59.012799999999991</v>
      </c>
      <c r="O257" s="68">
        <v>293.25</v>
      </c>
      <c r="P257" s="68">
        <f t="shared" si="126"/>
        <v>352.26279999999997</v>
      </c>
      <c r="Q257" s="76">
        <f>VLOOKUP($H$257,Tabsub,3)</f>
        <v>0</v>
      </c>
      <c r="R257" s="76"/>
      <c r="S257" s="76"/>
      <c r="T257" s="76"/>
      <c r="U257" s="76"/>
      <c r="V257" s="72">
        <f t="shared" si="120"/>
        <v>4067.5772000000002</v>
      </c>
      <c r="W257" s="70">
        <f t="shared" si="113"/>
        <v>3667.5772000000002</v>
      </c>
      <c r="Y257" s="14">
        <f t="shared" si="114"/>
        <v>4067.5772000000002</v>
      </c>
      <c r="Z257" s="14">
        <f t="shared" si="115"/>
        <v>3667.5772000000002</v>
      </c>
    </row>
    <row r="258" spans="1:26" s="10" customFormat="1" x14ac:dyDescent="0.25">
      <c r="A258" s="37">
        <v>146</v>
      </c>
      <c r="B258" s="48">
        <v>1585781666</v>
      </c>
      <c r="C258" s="16" t="s">
        <v>251</v>
      </c>
      <c r="D258" s="16" t="s">
        <v>175</v>
      </c>
      <c r="E258" s="174" t="s">
        <v>144</v>
      </c>
      <c r="F258" s="67">
        <v>16</v>
      </c>
      <c r="G258" s="76">
        <v>251.24</v>
      </c>
      <c r="H258" s="76">
        <f t="shared" si="128"/>
        <v>4019.84</v>
      </c>
      <c r="I258" s="76">
        <v>400</v>
      </c>
      <c r="J258" s="76"/>
      <c r="K258" s="76">
        <f>VLOOKUP($H$257,Tabisr,1)</f>
        <v>3651.01</v>
      </c>
      <c r="L258" s="72">
        <f t="shared" si="129"/>
        <v>368.82999999999993</v>
      </c>
      <c r="M258" s="77">
        <f>VLOOKUP($H$257,Tabisr,4)</f>
        <v>0.16</v>
      </c>
      <c r="N258" s="68">
        <f>(H258-3651.01)*16%</f>
        <v>59.012799999999991</v>
      </c>
      <c r="O258" s="68">
        <v>293.25</v>
      </c>
      <c r="P258" s="68">
        <f>O258+N258</f>
        <v>352.26279999999997</v>
      </c>
      <c r="Q258" s="76">
        <f>VLOOKUP($H$257,Tabsub,3)</f>
        <v>0</v>
      </c>
      <c r="R258" s="76"/>
      <c r="S258" s="76"/>
      <c r="T258" s="76"/>
      <c r="U258" s="76"/>
      <c r="V258" s="72">
        <f t="shared" si="120"/>
        <v>4067.5772000000002</v>
      </c>
      <c r="W258" s="70">
        <f t="shared" si="113"/>
        <v>3667.5772000000002</v>
      </c>
      <c r="Y258" s="14">
        <f t="shared" si="114"/>
        <v>4067.5772000000002</v>
      </c>
      <c r="Z258" s="14">
        <f t="shared" si="115"/>
        <v>3667.5772000000002</v>
      </c>
    </row>
    <row r="259" spans="1:26" s="10" customFormat="1" x14ac:dyDescent="0.25">
      <c r="A259" s="40">
        <v>147</v>
      </c>
      <c r="B259" s="48">
        <v>1585782191</v>
      </c>
      <c r="C259" s="16" t="s">
        <v>556</v>
      </c>
      <c r="D259" s="16" t="s">
        <v>175</v>
      </c>
      <c r="E259" s="19" t="s">
        <v>557</v>
      </c>
      <c r="F259" s="67">
        <v>16</v>
      </c>
      <c r="G259" s="76">
        <v>251.24</v>
      </c>
      <c r="H259" s="76">
        <f t="shared" si="128"/>
        <v>4019.84</v>
      </c>
      <c r="I259" s="76">
        <v>400</v>
      </c>
      <c r="J259" s="76"/>
      <c r="K259" s="76">
        <f>VLOOKUP($H$257,Tabisr,1)</f>
        <v>3651.01</v>
      </c>
      <c r="L259" s="72">
        <f t="shared" si="129"/>
        <v>368.82999999999993</v>
      </c>
      <c r="M259" s="77">
        <f>VLOOKUP($H$257,Tabisr,4)</f>
        <v>0.16</v>
      </c>
      <c r="N259" s="76">
        <f>(H259-3651.01)*16%</f>
        <v>59.012799999999991</v>
      </c>
      <c r="O259" s="76">
        <v>293.25</v>
      </c>
      <c r="P259" s="76">
        <f>O259+N259</f>
        <v>352.26279999999997</v>
      </c>
      <c r="Q259" s="76">
        <f>VLOOKUP($H$257,Tabsub,3)</f>
        <v>0</v>
      </c>
      <c r="R259" s="76"/>
      <c r="S259" s="76"/>
      <c r="T259" s="76"/>
      <c r="U259" s="76"/>
      <c r="V259" s="72">
        <f t="shared" si="120"/>
        <v>4067.5772000000002</v>
      </c>
      <c r="W259" s="72">
        <f t="shared" si="113"/>
        <v>3667.5772000000002</v>
      </c>
      <c r="Y259" s="14">
        <f t="shared" si="114"/>
        <v>4067.5772000000002</v>
      </c>
      <c r="Z259" s="14">
        <f t="shared" si="115"/>
        <v>3667.5772000000002</v>
      </c>
    </row>
    <row r="260" spans="1:26" s="10" customFormat="1" x14ac:dyDescent="0.25">
      <c r="A260" s="37">
        <v>148</v>
      </c>
      <c r="B260" s="48">
        <v>1586243561</v>
      </c>
      <c r="C260" s="16" t="s">
        <v>54</v>
      </c>
      <c r="D260" s="16" t="s">
        <v>174</v>
      </c>
      <c r="E260" s="19" t="s">
        <v>136</v>
      </c>
      <c r="F260" s="67">
        <v>16</v>
      </c>
      <c r="G260" s="76">
        <v>241</v>
      </c>
      <c r="H260" s="76">
        <f t="shared" si="128"/>
        <v>3856</v>
      </c>
      <c r="I260" s="76">
        <v>400</v>
      </c>
      <c r="J260" s="76"/>
      <c r="K260" s="76">
        <f>VLOOKUP($H$260,Tabisr,1)</f>
        <v>3651.01</v>
      </c>
      <c r="L260" s="72">
        <f t="shared" si="129"/>
        <v>204.98999999999978</v>
      </c>
      <c r="M260" s="77">
        <f>VLOOKUP($H$260,Tabisr,4)</f>
        <v>0.16</v>
      </c>
      <c r="N260" s="68">
        <f t="shared" ref="N260:N270" si="130">(H260-2077.51)*10.88%</f>
        <v>193.49971199999999</v>
      </c>
      <c r="O260" s="68">
        <v>121.95</v>
      </c>
      <c r="P260" s="68">
        <f t="shared" si="126"/>
        <v>315.44971199999998</v>
      </c>
      <c r="Q260" s="76">
        <f t="shared" ref="Q260:Q264" si="131">VLOOKUP($H$260,Tabsub,3)</f>
        <v>0</v>
      </c>
      <c r="R260" s="76">
        <v>1700</v>
      </c>
      <c r="S260" s="76"/>
      <c r="T260" s="76"/>
      <c r="U260" s="76"/>
      <c r="V260" s="72">
        <f t="shared" si="120"/>
        <v>2240.5502879999999</v>
      </c>
      <c r="W260" s="70">
        <f t="shared" si="113"/>
        <v>1840.5502879999999</v>
      </c>
      <c r="Y260" s="14">
        <f t="shared" si="114"/>
        <v>2240.5502879999999</v>
      </c>
      <c r="Z260" s="14">
        <f t="shared" si="115"/>
        <v>1840.5502879999999</v>
      </c>
    </row>
    <row r="261" spans="1:26" s="10" customFormat="1" x14ac:dyDescent="0.25">
      <c r="A261" s="40">
        <v>149</v>
      </c>
      <c r="B261" s="48">
        <v>1586243579</v>
      </c>
      <c r="C261" s="16" t="s">
        <v>55</v>
      </c>
      <c r="D261" s="16" t="s">
        <v>174</v>
      </c>
      <c r="E261" s="19" t="s">
        <v>137</v>
      </c>
      <c r="F261" s="67">
        <v>16</v>
      </c>
      <c r="G261" s="76">
        <v>241</v>
      </c>
      <c r="H261" s="76">
        <f t="shared" si="128"/>
        <v>3856</v>
      </c>
      <c r="I261" s="76">
        <v>400</v>
      </c>
      <c r="J261" s="76"/>
      <c r="K261" s="76">
        <f>VLOOKUP($H$261,Tabisr,1)</f>
        <v>3651.01</v>
      </c>
      <c r="L261" s="72">
        <f t="shared" si="129"/>
        <v>204.98999999999978</v>
      </c>
      <c r="M261" s="77">
        <f>VLOOKUP($H$261,Tabisr,4)</f>
        <v>0.16</v>
      </c>
      <c r="N261" s="76">
        <f t="shared" si="130"/>
        <v>193.49971199999999</v>
      </c>
      <c r="O261" s="76">
        <v>121.95</v>
      </c>
      <c r="P261" s="76">
        <f t="shared" si="126"/>
        <v>315.44971199999998</v>
      </c>
      <c r="Q261" s="76">
        <f t="shared" si="131"/>
        <v>0</v>
      </c>
      <c r="R261" s="76">
        <v>1050</v>
      </c>
      <c r="S261" s="76"/>
      <c r="T261" s="76"/>
      <c r="U261" s="76"/>
      <c r="V261" s="72">
        <f t="shared" si="120"/>
        <v>2890.5502879999999</v>
      </c>
      <c r="W261" s="72">
        <f t="shared" si="113"/>
        <v>2490.5502879999999</v>
      </c>
      <c r="Y261" s="14">
        <f t="shared" si="114"/>
        <v>2890.5502879999999</v>
      </c>
      <c r="Z261" s="14">
        <f t="shared" si="115"/>
        <v>2490.5502879999999</v>
      </c>
    </row>
    <row r="262" spans="1:26" s="10" customFormat="1" x14ac:dyDescent="0.25">
      <c r="A262" s="37">
        <v>150</v>
      </c>
      <c r="B262" s="48">
        <v>1585782204</v>
      </c>
      <c r="C262" s="16" t="s">
        <v>465</v>
      </c>
      <c r="D262" s="16" t="s">
        <v>174</v>
      </c>
      <c r="E262" s="19" t="s">
        <v>466</v>
      </c>
      <c r="F262" s="67">
        <v>16</v>
      </c>
      <c r="G262" s="76">
        <v>241</v>
      </c>
      <c r="H262" s="76">
        <f t="shared" ref="H262:H267" si="132">F262*G262</f>
        <v>3856</v>
      </c>
      <c r="I262" s="76">
        <v>400</v>
      </c>
      <c r="J262" s="76"/>
      <c r="K262" s="76">
        <f>VLOOKUP($H$261,Tabisr,1)</f>
        <v>3651.01</v>
      </c>
      <c r="L262" s="72">
        <f t="shared" si="129"/>
        <v>204.98999999999978</v>
      </c>
      <c r="M262" s="77">
        <f>VLOOKUP($H$261,Tabisr,4)</f>
        <v>0.16</v>
      </c>
      <c r="N262" s="68">
        <f t="shared" si="130"/>
        <v>193.49971199999999</v>
      </c>
      <c r="O262" s="68">
        <v>121.95</v>
      </c>
      <c r="P262" s="68">
        <f>O262+N262</f>
        <v>315.44971199999998</v>
      </c>
      <c r="Q262" s="76">
        <f t="shared" si="131"/>
        <v>0</v>
      </c>
      <c r="R262" s="76">
        <v>1400</v>
      </c>
      <c r="S262" s="76"/>
      <c r="T262" s="76"/>
      <c r="U262" s="76"/>
      <c r="V262" s="72">
        <f t="shared" si="120"/>
        <v>2540.5502879999999</v>
      </c>
      <c r="W262" s="70">
        <f t="shared" si="113"/>
        <v>2140.5502879999999</v>
      </c>
      <c r="Y262" s="14">
        <f t="shared" si="114"/>
        <v>2540.5502879999999</v>
      </c>
      <c r="Z262" s="14">
        <f t="shared" si="115"/>
        <v>2140.5502879999999</v>
      </c>
    </row>
    <row r="263" spans="1:26" s="10" customFormat="1" x14ac:dyDescent="0.25">
      <c r="A263" s="40">
        <v>151</v>
      </c>
      <c r="B263" s="48">
        <v>1585782214</v>
      </c>
      <c r="C263" s="16" t="s">
        <v>467</v>
      </c>
      <c r="D263" s="16" t="s">
        <v>174</v>
      </c>
      <c r="E263" s="19" t="s">
        <v>468</v>
      </c>
      <c r="F263" s="67">
        <v>16</v>
      </c>
      <c r="G263" s="76">
        <v>241</v>
      </c>
      <c r="H263" s="76">
        <f t="shared" si="132"/>
        <v>3856</v>
      </c>
      <c r="I263" s="76">
        <v>400</v>
      </c>
      <c r="J263" s="76"/>
      <c r="K263" s="76">
        <f>VLOOKUP($H$261,Tabisr,1)</f>
        <v>3651.01</v>
      </c>
      <c r="L263" s="72">
        <f t="shared" si="129"/>
        <v>204.98999999999978</v>
      </c>
      <c r="M263" s="77">
        <f>VLOOKUP($H$261,Tabisr,4)</f>
        <v>0.16</v>
      </c>
      <c r="N263" s="68">
        <f t="shared" si="130"/>
        <v>193.49971199999999</v>
      </c>
      <c r="O263" s="68">
        <v>121.95</v>
      </c>
      <c r="P263" s="68">
        <f>O263+N263</f>
        <v>315.44971199999998</v>
      </c>
      <c r="Q263" s="76">
        <f t="shared" si="131"/>
        <v>0</v>
      </c>
      <c r="R263" s="76">
        <v>1500</v>
      </c>
      <c r="S263" s="76"/>
      <c r="T263" s="76"/>
      <c r="U263" s="76"/>
      <c r="V263" s="72">
        <f t="shared" si="120"/>
        <v>2440.5502879999999</v>
      </c>
      <c r="W263" s="70">
        <f t="shared" si="113"/>
        <v>2040.5502879999999</v>
      </c>
      <c r="Y263" s="14">
        <f t="shared" si="114"/>
        <v>2440.5502879999999</v>
      </c>
      <c r="Z263" s="14">
        <f t="shared" si="115"/>
        <v>2040.5502879999999</v>
      </c>
    </row>
    <row r="264" spans="1:26" s="12" customFormat="1" x14ac:dyDescent="0.25">
      <c r="A264" s="37">
        <v>152</v>
      </c>
      <c r="B264" s="48">
        <v>1585782221</v>
      </c>
      <c r="C264" s="16" t="s">
        <v>589</v>
      </c>
      <c r="D264" s="16" t="s">
        <v>174</v>
      </c>
      <c r="E264" s="19" t="s">
        <v>600</v>
      </c>
      <c r="F264" s="67">
        <v>16</v>
      </c>
      <c r="G264" s="76">
        <v>241</v>
      </c>
      <c r="H264" s="76">
        <f>F264*G264</f>
        <v>3856</v>
      </c>
      <c r="I264" s="76">
        <v>400</v>
      </c>
      <c r="J264" s="76"/>
      <c r="K264" s="76">
        <f>VLOOKUP($H$261,Tabisr,1)</f>
        <v>3651.01</v>
      </c>
      <c r="L264" s="72">
        <f t="shared" si="129"/>
        <v>204.98999999999978</v>
      </c>
      <c r="M264" s="77">
        <f>VLOOKUP($H$261,Tabisr,4)</f>
        <v>0.16</v>
      </c>
      <c r="N264" s="76">
        <f t="shared" si="130"/>
        <v>193.49971199999999</v>
      </c>
      <c r="O264" s="76">
        <v>122.95</v>
      </c>
      <c r="P264" s="76">
        <v>315.45</v>
      </c>
      <c r="Q264" s="76">
        <f t="shared" si="131"/>
        <v>0</v>
      </c>
      <c r="R264" s="76"/>
      <c r="S264" s="76"/>
      <c r="T264" s="76"/>
      <c r="U264" s="76">
        <v>300</v>
      </c>
      <c r="V264" s="72">
        <f t="shared" si="120"/>
        <v>3640.55</v>
      </c>
      <c r="W264" s="72">
        <f t="shared" si="113"/>
        <v>3240.55</v>
      </c>
      <c r="Y264" s="14">
        <f t="shared" si="114"/>
        <v>3640.55</v>
      </c>
      <c r="Z264" s="14">
        <f t="shared" si="115"/>
        <v>3240.55</v>
      </c>
    </row>
    <row r="265" spans="1:26" s="12" customFormat="1" x14ac:dyDescent="0.25">
      <c r="A265" s="257">
        <v>153</v>
      </c>
      <c r="B265" s="258"/>
      <c r="C265" s="259" t="s">
        <v>458</v>
      </c>
      <c r="D265" s="259" t="s">
        <v>174</v>
      </c>
      <c r="E265" s="260"/>
      <c r="F265" s="121"/>
      <c r="G265" s="261">
        <v>241</v>
      </c>
      <c r="H265" s="261"/>
      <c r="I265" s="261"/>
      <c r="J265" s="122"/>
      <c r="K265" s="261"/>
      <c r="L265" s="262"/>
      <c r="M265" s="263"/>
      <c r="N265" s="261"/>
      <c r="O265" s="261"/>
      <c r="P265" s="261"/>
      <c r="Q265" s="261"/>
      <c r="R265" s="261"/>
      <c r="S265" s="261"/>
      <c r="T265" s="261"/>
      <c r="U265" s="261"/>
      <c r="V265" s="262"/>
      <c r="W265" s="262"/>
      <c r="Y265" s="14">
        <f t="shared" si="114"/>
        <v>0</v>
      </c>
      <c r="Z265" s="14">
        <f t="shared" si="115"/>
        <v>0</v>
      </c>
    </row>
    <row r="266" spans="1:26" s="10" customFormat="1" x14ac:dyDescent="0.25">
      <c r="A266" s="37">
        <v>154</v>
      </c>
      <c r="B266" s="48">
        <v>1585782247</v>
      </c>
      <c r="C266" s="16" t="s">
        <v>206</v>
      </c>
      <c r="D266" s="16" t="s">
        <v>173</v>
      </c>
      <c r="E266" s="19" t="s">
        <v>241</v>
      </c>
      <c r="F266" s="67">
        <v>16</v>
      </c>
      <c r="G266" s="76">
        <v>241</v>
      </c>
      <c r="H266" s="76">
        <f t="shared" si="132"/>
        <v>3856</v>
      </c>
      <c r="I266" s="76">
        <v>400</v>
      </c>
      <c r="J266" s="76"/>
      <c r="K266" s="76">
        <f>VLOOKUP($H$266,Tabisr,1)</f>
        <v>3651.01</v>
      </c>
      <c r="L266" s="72">
        <f t="shared" si="129"/>
        <v>204.98999999999978</v>
      </c>
      <c r="M266" s="77">
        <f>VLOOKUP($H$266,Tabisr,4)</f>
        <v>0.16</v>
      </c>
      <c r="N266" s="68">
        <f t="shared" si="130"/>
        <v>193.49971199999999</v>
      </c>
      <c r="O266" s="68">
        <v>121.95</v>
      </c>
      <c r="P266" s="68">
        <f t="shared" si="126"/>
        <v>315.44971199999998</v>
      </c>
      <c r="Q266" s="76">
        <f>VLOOKUP($H$260,Tabsub,3)</f>
        <v>0</v>
      </c>
      <c r="R266" s="76"/>
      <c r="S266" s="76"/>
      <c r="T266" s="76"/>
      <c r="U266" s="76"/>
      <c r="V266" s="72">
        <f t="shared" si="120"/>
        <v>3940.5502879999999</v>
      </c>
      <c r="W266" s="70">
        <f t="shared" si="113"/>
        <v>3540.5502879999999</v>
      </c>
      <c r="Y266" s="14">
        <f t="shared" si="114"/>
        <v>3940.5502879999999</v>
      </c>
      <c r="Z266" s="14">
        <f t="shared" si="115"/>
        <v>3540.5502879999999</v>
      </c>
    </row>
    <row r="267" spans="1:26" s="10" customFormat="1" x14ac:dyDescent="0.25">
      <c r="A267" s="40">
        <v>155</v>
      </c>
      <c r="B267" s="48">
        <v>1585782255</v>
      </c>
      <c r="C267" s="16" t="s">
        <v>574</v>
      </c>
      <c r="D267" s="16" t="s">
        <v>422</v>
      </c>
      <c r="E267" s="19" t="s">
        <v>575</v>
      </c>
      <c r="F267" s="67">
        <v>16</v>
      </c>
      <c r="G267" s="76">
        <v>241</v>
      </c>
      <c r="H267" s="76">
        <f t="shared" si="132"/>
        <v>3856</v>
      </c>
      <c r="I267" s="76">
        <v>400</v>
      </c>
      <c r="J267" s="76"/>
      <c r="K267" s="76">
        <f>VLOOKUP($H$261,Tabisr,1)</f>
        <v>3651.01</v>
      </c>
      <c r="L267" s="72">
        <f t="shared" si="129"/>
        <v>204.98999999999978</v>
      </c>
      <c r="M267" s="77">
        <f>VLOOKUP($H$261,Tabisr,4)</f>
        <v>0.16</v>
      </c>
      <c r="N267" s="76">
        <f t="shared" si="130"/>
        <v>193.49971199999999</v>
      </c>
      <c r="O267" s="76">
        <v>121.95</v>
      </c>
      <c r="P267" s="76">
        <f>O267+N267</f>
        <v>315.44971199999998</v>
      </c>
      <c r="Q267" s="76">
        <f>VLOOKUP($H$260,Tabsub,3)</f>
        <v>0</v>
      </c>
      <c r="R267" s="76"/>
      <c r="S267" s="76"/>
      <c r="T267" s="76"/>
      <c r="U267" s="76"/>
      <c r="V267" s="72">
        <f t="shared" si="120"/>
        <v>3940.5502879999999</v>
      </c>
      <c r="W267" s="72">
        <f t="shared" si="113"/>
        <v>3540.5502879999999</v>
      </c>
      <c r="Y267" s="14">
        <f t="shared" si="114"/>
        <v>3940.5502879999999</v>
      </c>
      <c r="Z267" s="14">
        <f t="shared" si="115"/>
        <v>3540.5502879999999</v>
      </c>
    </row>
    <row r="268" spans="1:26" s="10" customFormat="1" x14ac:dyDescent="0.25">
      <c r="A268" s="37">
        <v>156</v>
      </c>
      <c r="B268" s="48">
        <v>1585782263</v>
      </c>
      <c r="C268" s="16" t="s">
        <v>56</v>
      </c>
      <c r="D268" s="16" t="s">
        <v>173</v>
      </c>
      <c r="E268" s="19" t="s">
        <v>139</v>
      </c>
      <c r="F268" s="67">
        <v>16</v>
      </c>
      <c r="G268" s="76">
        <v>241</v>
      </c>
      <c r="H268" s="76">
        <f>F268*G268</f>
        <v>3856</v>
      </c>
      <c r="I268" s="76">
        <v>400</v>
      </c>
      <c r="J268" s="76"/>
      <c r="K268" s="76">
        <f>VLOOKUP($H$268,Tabisr,1)</f>
        <v>3651.01</v>
      </c>
      <c r="L268" s="72">
        <f t="shared" si="129"/>
        <v>204.98999999999978</v>
      </c>
      <c r="M268" s="77">
        <f>VLOOKUP($H$268,Tabisr,4)</f>
        <v>0.16</v>
      </c>
      <c r="N268" s="68">
        <f t="shared" si="130"/>
        <v>193.49971199999999</v>
      </c>
      <c r="O268" s="68">
        <v>121.95</v>
      </c>
      <c r="P268" s="68">
        <f>O268+N268</f>
        <v>315.44971199999998</v>
      </c>
      <c r="Q268" s="76">
        <f>VLOOKUP($H$260,Tabsub,3)</f>
        <v>0</v>
      </c>
      <c r="R268" s="76"/>
      <c r="S268" s="76"/>
      <c r="T268" s="76"/>
      <c r="U268" s="76"/>
      <c r="V268" s="72">
        <f t="shared" si="120"/>
        <v>3940.5502879999999</v>
      </c>
      <c r="W268" s="70">
        <f t="shared" si="113"/>
        <v>3540.5502879999999</v>
      </c>
      <c r="Y268" s="14">
        <f t="shared" si="114"/>
        <v>3940.5502879999999</v>
      </c>
      <c r="Z268" s="14">
        <f t="shared" si="115"/>
        <v>3540.5502879999999</v>
      </c>
    </row>
    <row r="269" spans="1:26" s="10" customFormat="1" x14ac:dyDescent="0.25">
      <c r="A269" s="37">
        <v>157</v>
      </c>
      <c r="B269" s="48">
        <v>1585782280</v>
      </c>
      <c r="C269" s="16" t="s">
        <v>57</v>
      </c>
      <c r="D269" s="16" t="s">
        <v>172</v>
      </c>
      <c r="E269" s="19" t="s">
        <v>140</v>
      </c>
      <c r="F269" s="67">
        <v>16</v>
      </c>
      <c r="G269" s="76">
        <v>241</v>
      </c>
      <c r="H269" s="76">
        <f>F269*G269</f>
        <v>3856</v>
      </c>
      <c r="I269" s="76">
        <v>400</v>
      </c>
      <c r="J269" s="76"/>
      <c r="K269" s="76">
        <f>VLOOKUP($H$269,Tabisr,1)</f>
        <v>3651.01</v>
      </c>
      <c r="L269" s="72">
        <f t="shared" si="129"/>
        <v>204.98999999999978</v>
      </c>
      <c r="M269" s="77">
        <f>VLOOKUP($H$269,Tabisr,4)</f>
        <v>0.16</v>
      </c>
      <c r="N269" s="76">
        <f t="shared" si="130"/>
        <v>193.49971199999999</v>
      </c>
      <c r="O269" s="76">
        <v>121.95</v>
      </c>
      <c r="P269" s="76">
        <f>O269+N269</f>
        <v>315.44971199999998</v>
      </c>
      <c r="Q269" s="76">
        <f>VLOOKUP($H$260,Tabsub,3)</f>
        <v>0</v>
      </c>
      <c r="R269" s="76">
        <v>1050</v>
      </c>
      <c r="S269" s="76"/>
      <c r="T269" s="76"/>
      <c r="U269" s="76">
        <v>300</v>
      </c>
      <c r="V269" s="72">
        <f t="shared" si="120"/>
        <v>2590.5502879999999</v>
      </c>
      <c r="W269" s="72">
        <f t="shared" si="113"/>
        <v>2190.5502879999999</v>
      </c>
      <c r="Y269" s="14">
        <f t="shared" si="114"/>
        <v>2590.5502879999999</v>
      </c>
      <c r="Z269" s="14">
        <f t="shared" si="115"/>
        <v>2190.5502879999999</v>
      </c>
    </row>
    <row r="270" spans="1:26" s="10" customFormat="1" x14ac:dyDescent="0.25">
      <c r="A270" s="37">
        <v>158</v>
      </c>
      <c r="B270" s="48">
        <v>1585782298</v>
      </c>
      <c r="C270" s="16" t="s">
        <v>58</v>
      </c>
      <c r="D270" s="161" t="s">
        <v>172</v>
      </c>
      <c r="E270" s="162" t="s">
        <v>141</v>
      </c>
      <c r="F270" s="67">
        <v>16</v>
      </c>
      <c r="G270" s="68">
        <v>241</v>
      </c>
      <c r="H270" s="68">
        <f>F270*G270</f>
        <v>3856</v>
      </c>
      <c r="I270" s="68">
        <v>400</v>
      </c>
      <c r="J270" s="76"/>
      <c r="K270" s="68">
        <f>VLOOKUP($H$270,Tabisr,1)</f>
        <v>3651.01</v>
      </c>
      <c r="L270" s="70">
        <f t="shared" si="129"/>
        <v>204.98999999999978</v>
      </c>
      <c r="M270" s="71">
        <f>VLOOKUP($H$270,Tabisr,4)</f>
        <v>0.16</v>
      </c>
      <c r="N270" s="68">
        <f t="shared" si="130"/>
        <v>193.49971199999999</v>
      </c>
      <c r="O270" s="68">
        <v>121.95</v>
      </c>
      <c r="P270" s="68">
        <f>O270+N270</f>
        <v>315.44971199999998</v>
      </c>
      <c r="Q270" s="76">
        <f>VLOOKUP($H$260,Tabsub,3)</f>
        <v>0</v>
      </c>
      <c r="R270" s="68"/>
      <c r="S270" s="68"/>
      <c r="T270" s="68"/>
      <c r="U270" s="76"/>
      <c r="V270" s="72">
        <f t="shared" si="120"/>
        <v>3940.5502879999999</v>
      </c>
      <c r="W270" s="70">
        <f t="shared" si="113"/>
        <v>3540.5502879999999</v>
      </c>
      <c r="Y270" s="14">
        <f t="shared" si="114"/>
        <v>3940.5502879999999</v>
      </c>
      <c r="Z270" s="14">
        <f t="shared" si="115"/>
        <v>3540.5502879999999</v>
      </c>
    </row>
    <row r="271" spans="1:26" s="10" customFormat="1" x14ac:dyDescent="0.25">
      <c r="A271" s="34"/>
      <c r="B271" s="53"/>
      <c r="C271" s="169"/>
      <c r="D271" s="170"/>
      <c r="E271" s="234"/>
      <c r="F271" s="88"/>
      <c r="G271" s="88"/>
      <c r="H271" s="89">
        <f>+SUM(H237:H270)</f>
        <v>141370.56</v>
      </c>
      <c r="I271" s="212">
        <f>+SUM(I237:I270)</f>
        <v>12800</v>
      </c>
      <c r="J271" s="212">
        <f t="shared" ref="J271:W271" si="133">+SUM(J237:J270)</f>
        <v>0</v>
      </c>
      <c r="K271" s="212">
        <f t="shared" si="133"/>
        <v>127738.32999999993</v>
      </c>
      <c r="L271" s="212">
        <f t="shared" si="133"/>
        <v>13632.229999999994</v>
      </c>
      <c r="M271" s="212">
        <f t="shared" si="133"/>
        <v>5.5368000000000022</v>
      </c>
      <c r="N271" s="212">
        <f t="shared" si="133"/>
        <v>5627.6020239999971</v>
      </c>
      <c r="O271" s="212">
        <f t="shared" si="133"/>
        <v>7595.7999999999975</v>
      </c>
      <c r="P271" s="212">
        <f t="shared" si="133"/>
        <v>13178.791511999998</v>
      </c>
      <c r="Q271" s="212">
        <f t="shared" si="133"/>
        <v>0</v>
      </c>
      <c r="R271" s="212">
        <f t="shared" si="133"/>
        <v>12110</v>
      </c>
      <c r="S271" s="212">
        <f t="shared" si="133"/>
        <v>4996</v>
      </c>
      <c r="T271" s="212">
        <f t="shared" si="133"/>
        <v>0</v>
      </c>
      <c r="U271" s="212">
        <f t="shared" si="133"/>
        <v>900</v>
      </c>
      <c r="V271" s="212">
        <f t="shared" si="133"/>
        <v>122985.76848799999</v>
      </c>
      <c r="W271" s="212">
        <f t="shared" si="133"/>
        <v>110185.76848799999</v>
      </c>
      <c r="Y271" s="15">
        <f>+SUM(Y237:Y270)</f>
        <v>122985.76848799999</v>
      </c>
      <c r="Z271" s="15">
        <f>+SUM(Z237:Z270)</f>
        <v>110185.76848799999</v>
      </c>
    </row>
    <row r="272" spans="1:26" s="10" customFormat="1" x14ac:dyDescent="0.25">
      <c r="A272" s="34"/>
      <c r="B272" s="53"/>
      <c r="C272" s="169"/>
      <c r="D272" s="170"/>
      <c r="E272" s="234"/>
      <c r="F272" s="88"/>
      <c r="G272" s="88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Y272" s="15"/>
      <c r="Z272" s="15"/>
    </row>
    <row r="273" spans="1:26" s="10" customFormat="1" x14ac:dyDescent="0.25">
      <c r="A273" s="34"/>
      <c r="B273" s="53"/>
      <c r="C273" s="169"/>
      <c r="D273" s="170"/>
      <c r="E273" s="234"/>
      <c r="F273" s="88"/>
      <c r="G273" s="88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Y273" s="15"/>
      <c r="Z273" s="15"/>
    </row>
    <row r="274" spans="1:26" s="10" customFormat="1" ht="18.75" x14ac:dyDescent="0.25">
      <c r="A274" s="280" t="s">
        <v>400</v>
      </c>
      <c r="B274" s="281"/>
      <c r="C274" s="281"/>
      <c r="D274" s="281"/>
      <c r="E274" s="281"/>
      <c r="F274" s="281"/>
      <c r="G274" s="281"/>
      <c r="H274" s="281"/>
      <c r="I274" s="281"/>
      <c r="J274" s="281"/>
      <c r="K274" s="281"/>
      <c r="L274" s="281"/>
      <c r="M274" s="281"/>
      <c r="N274" s="281"/>
      <c r="O274" s="281"/>
      <c r="P274" s="281"/>
      <c r="Q274" s="281"/>
      <c r="R274" s="281"/>
      <c r="S274" s="281"/>
      <c r="T274" s="281"/>
      <c r="U274" s="281"/>
      <c r="V274" s="281"/>
      <c r="W274" s="282"/>
      <c r="Y274" s="14"/>
      <c r="Z274" s="14"/>
    </row>
    <row r="275" spans="1:26" ht="32.25" customHeight="1" x14ac:dyDescent="0.25">
      <c r="A275" s="41" t="s">
        <v>69</v>
      </c>
      <c r="B275" s="52" t="s">
        <v>588</v>
      </c>
      <c r="C275" s="31" t="s">
        <v>17</v>
      </c>
      <c r="D275" s="31" t="s">
        <v>161</v>
      </c>
      <c r="E275" s="31" t="s">
        <v>143</v>
      </c>
      <c r="F275" s="31" t="s">
        <v>27</v>
      </c>
      <c r="G275" s="31" t="s">
        <v>19</v>
      </c>
      <c r="H275" s="31" t="s">
        <v>18</v>
      </c>
      <c r="I275" s="31" t="s">
        <v>66</v>
      </c>
      <c r="J275" s="31" t="s">
        <v>74</v>
      </c>
      <c r="K275" s="50" t="s">
        <v>301</v>
      </c>
      <c r="L275" s="50" t="s">
        <v>302</v>
      </c>
      <c r="M275" s="50" t="s">
        <v>303</v>
      </c>
      <c r="N275" s="50" t="s">
        <v>304</v>
      </c>
      <c r="O275" s="31" t="s">
        <v>305</v>
      </c>
      <c r="P275" s="31" t="s">
        <v>67</v>
      </c>
      <c r="Q275" s="31" t="s">
        <v>68</v>
      </c>
      <c r="R275" s="31" t="s">
        <v>20</v>
      </c>
      <c r="S275" s="31" t="s">
        <v>452</v>
      </c>
      <c r="T275" s="31" t="s">
        <v>72</v>
      </c>
      <c r="U275" s="31" t="s">
        <v>157</v>
      </c>
      <c r="V275" s="31" t="s">
        <v>155</v>
      </c>
      <c r="W275" s="31" t="s">
        <v>156</v>
      </c>
      <c r="Y275" s="14"/>
      <c r="Z275" s="14"/>
    </row>
    <row r="276" spans="1:26" s="10" customFormat="1" x14ac:dyDescent="0.25">
      <c r="A276" s="32">
        <v>159</v>
      </c>
      <c r="B276" s="48">
        <v>1585782302</v>
      </c>
      <c r="C276" s="16" t="s">
        <v>229</v>
      </c>
      <c r="D276" s="19" t="s">
        <v>218</v>
      </c>
      <c r="E276" s="19" t="s">
        <v>230</v>
      </c>
      <c r="F276" s="67">
        <v>16</v>
      </c>
      <c r="G276" s="76">
        <v>296.54000000000002</v>
      </c>
      <c r="H276" s="76">
        <f>F276*G276</f>
        <v>4744.6400000000003</v>
      </c>
      <c r="I276" s="76">
        <v>400</v>
      </c>
      <c r="J276" s="76"/>
      <c r="K276" s="76">
        <f>VLOOKUP($H$69,Tabisr,1)</f>
        <v>5081.01</v>
      </c>
      <c r="L276" s="72">
        <f>+H276-K276</f>
        <v>-336.36999999999989</v>
      </c>
      <c r="M276" s="77">
        <f>VLOOKUP($H$69,Tabisr,4)</f>
        <v>0.21360000000000001</v>
      </c>
      <c r="N276" s="76">
        <f>(H276-4244.01)*17.92%</f>
        <v>89.712896000000029</v>
      </c>
      <c r="O276" s="76">
        <v>388.05</v>
      </c>
      <c r="P276" s="76">
        <f>N276+O276</f>
        <v>477.76289600000007</v>
      </c>
      <c r="Q276" s="76">
        <f>VLOOKUP($H$69,Tabsub,3)</f>
        <v>0</v>
      </c>
      <c r="R276" s="76"/>
      <c r="S276" s="76">
        <v>1062</v>
      </c>
      <c r="T276" s="76">
        <f>3080.4/2</f>
        <v>1540.2</v>
      </c>
      <c r="U276" s="76"/>
      <c r="V276" s="72">
        <f>H276+I276+J276-P276+Q276-R276-S276-T276-U276</f>
        <v>2064.6771040000003</v>
      </c>
      <c r="W276" s="72">
        <f>V276-I276</f>
        <v>1664.6771040000003</v>
      </c>
      <c r="Y276" s="14">
        <f>+H276+I276+J276+Q276-P276-R276-S276-T276-U276</f>
        <v>2064.6771040000003</v>
      </c>
      <c r="Z276" s="14">
        <f>+V276-I276</f>
        <v>1664.6771040000003</v>
      </c>
    </row>
    <row r="277" spans="1:26" s="10" customFormat="1" x14ac:dyDescent="0.25">
      <c r="A277" s="42"/>
      <c r="B277" s="57"/>
      <c r="C277" s="177"/>
      <c r="D277" s="182"/>
      <c r="E277" s="235"/>
      <c r="F277" s="46"/>
      <c r="G277" s="46"/>
      <c r="H277" s="119">
        <f>+H276</f>
        <v>4744.6400000000003</v>
      </c>
      <c r="I277" s="119">
        <f t="shared" ref="I277:W277" si="134">+I276</f>
        <v>400</v>
      </c>
      <c r="J277" s="119">
        <f t="shared" si="134"/>
        <v>0</v>
      </c>
      <c r="K277" s="119">
        <f t="shared" si="134"/>
        <v>5081.01</v>
      </c>
      <c r="L277" s="119">
        <f t="shared" si="134"/>
        <v>-336.36999999999989</v>
      </c>
      <c r="M277" s="119">
        <f t="shared" si="134"/>
        <v>0.21360000000000001</v>
      </c>
      <c r="N277" s="119">
        <f t="shared" si="134"/>
        <v>89.712896000000029</v>
      </c>
      <c r="O277" s="119">
        <f t="shared" si="134"/>
        <v>388.05</v>
      </c>
      <c r="P277" s="119">
        <f t="shared" si="134"/>
        <v>477.76289600000007</v>
      </c>
      <c r="Q277" s="119">
        <f t="shared" si="134"/>
        <v>0</v>
      </c>
      <c r="R277" s="119">
        <f t="shared" si="134"/>
        <v>0</v>
      </c>
      <c r="S277" s="119">
        <f t="shared" si="134"/>
        <v>1062</v>
      </c>
      <c r="T277" s="119">
        <f t="shared" si="134"/>
        <v>1540.2</v>
      </c>
      <c r="U277" s="119">
        <f t="shared" si="134"/>
        <v>0</v>
      </c>
      <c r="V277" s="119">
        <f t="shared" si="134"/>
        <v>2064.6771040000003</v>
      </c>
      <c r="W277" s="119">
        <f t="shared" si="134"/>
        <v>1664.6771040000003</v>
      </c>
      <c r="Y277" s="15">
        <f>+Y276</f>
        <v>2064.6771040000003</v>
      </c>
      <c r="Z277" s="15">
        <f>+Z276</f>
        <v>1664.6771040000003</v>
      </c>
    </row>
    <row r="278" spans="1:26" s="10" customFormat="1" x14ac:dyDescent="0.25">
      <c r="A278" s="42"/>
      <c r="B278" s="57"/>
      <c r="C278" s="177"/>
      <c r="D278" s="182"/>
      <c r="E278" s="235"/>
      <c r="F278" s="46"/>
      <c r="G278" s="46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Y278" s="15"/>
      <c r="Z278" s="15"/>
    </row>
    <row r="279" spans="1:26" s="10" customFormat="1" x14ac:dyDescent="0.25">
      <c r="A279" s="42"/>
      <c r="B279" s="57"/>
      <c r="C279" s="177"/>
      <c r="D279" s="182"/>
      <c r="E279" s="235"/>
      <c r="F279" s="46"/>
      <c r="G279" s="46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Y279" s="15"/>
      <c r="Z279" s="15"/>
    </row>
    <row r="280" spans="1:26" s="10" customFormat="1" x14ac:dyDescent="0.25">
      <c r="A280" s="42"/>
      <c r="B280" s="57"/>
      <c r="C280" s="177"/>
      <c r="D280" s="182"/>
      <c r="E280" s="235"/>
      <c r="F280" s="46"/>
      <c r="G280" s="46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Y280" s="14"/>
      <c r="Z280" s="14"/>
    </row>
    <row r="281" spans="1:26" ht="18.75" x14ac:dyDescent="0.25">
      <c r="A281" s="277" t="s">
        <v>263</v>
      </c>
      <c r="B281" s="278"/>
      <c r="C281" s="278"/>
      <c r="D281" s="278"/>
      <c r="E281" s="278"/>
      <c r="F281" s="278"/>
      <c r="G281" s="278"/>
      <c r="H281" s="278"/>
      <c r="I281" s="278"/>
      <c r="J281" s="278"/>
      <c r="K281" s="278"/>
      <c r="L281" s="278"/>
      <c r="M281" s="278"/>
      <c r="N281" s="278"/>
      <c r="O281" s="278"/>
      <c r="P281" s="278"/>
      <c r="Q281" s="278"/>
      <c r="R281" s="278"/>
      <c r="S281" s="278"/>
      <c r="T281" s="278"/>
      <c r="U281" s="278"/>
      <c r="V281" s="278"/>
      <c r="W281" s="279"/>
      <c r="Y281" s="14"/>
      <c r="Z281" s="14"/>
    </row>
    <row r="282" spans="1:26" ht="39.75" customHeight="1" x14ac:dyDescent="0.25">
      <c r="A282" s="31" t="s">
        <v>69</v>
      </c>
      <c r="B282" s="52" t="s">
        <v>588</v>
      </c>
      <c r="C282" s="31" t="s">
        <v>17</v>
      </c>
      <c r="D282" s="31" t="s">
        <v>161</v>
      </c>
      <c r="E282" s="31" t="s">
        <v>143</v>
      </c>
      <c r="F282" s="31" t="s">
        <v>27</v>
      </c>
      <c r="G282" s="31" t="s">
        <v>19</v>
      </c>
      <c r="H282" s="31" t="s">
        <v>18</v>
      </c>
      <c r="I282" s="31" t="s">
        <v>66</v>
      </c>
      <c r="J282" s="31" t="s">
        <v>74</v>
      </c>
      <c r="K282" s="50" t="s">
        <v>301</v>
      </c>
      <c r="L282" s="50" t="s">
        <v>302</v>
      </c>
      <c r="M282" s="50" t="s">
        <v>303</v>
      </c>
      <c r="N282" s="50" t="s">
        <v>304</v>
      </c>
      <c r="O282" s="31" t="s">
        <v>305</v>
      </c>
      <c r="P282" s="31" t="s">
        <v>67</v>
      </c>
      <c r="Q282" s="31" t="s">
        <v>68</v>
      </c>
      <c r="R282" s="31" t="s">
        <v>20</v>
      </c>
      <c r="S282" s="31" t="s">
        <v>452</v>
      </c>
      <c r="T282" s="31" t="s">
        <v>72</v>
      </c>
      <c r="U282" s="31" t="s">
        <v>157</v>
      </c>
      <c r="V282" s="31" t="s">
        <v>155</v>
      </c>
      <c r="W282" s="31" t="s">
        <v>156</v>
      </c>
      <c r="Y282" s="14"/>
      <c r="Z282" s="14"/>
    </row>
    <row r="283" spans="1:26" x14ac:dyDescent="0.25">
      <c r="A283" s="32">
        <v>160</v>
      </c>
      <c r="B283" s="48">
        <v>1585782310</v>
      </c>
      <c r="C283" s="16" t="s">
        <v>212</v>
      </c>
      <c r="D283" s="16" t="s">
        <v>263</v>
      </c>
      <c r="E283" s="19" t="s">
        <v>250</v>
      </c>
      <c r="F283" s="67">
        <v>16</v>
      </c>
      <c r="G283" s="76">
        <v>320.08</v>
      </c>
      <c r="H283" s="76">
        <f>F283*G283</f>
        <v>5121.28</v>
      </c>
      <c r="I283" s="76">
        <v>400</v>
      </c>
      <c r="J283" s="76"/>
      <c r="K283" s="76">
        <f>VLOOKUP($H$283,Tabisr,1)</f>
        <v>5081.01</v>
      </c>
      <c r="L283" s="72">
        <f>+H283-K283</f>
        <v>40.269999999999527</v>
      </c>
      <c r="M283" s="77">
        <f>VLOOKUP($H$283,Tabisr,4)</f>
        <v>0.21360000000000001</v>
      </c>
      <c r="N283" s="76">
        <f>(H283-4244.01)*17.92%</f>
        <v>157.20678399999994</v>
      </c>
      <c r="O283" s="76">
        <v>388.05</v>
      </c>
      <c r="P283" s="76">
        <f>N283+O283</f>
        <v>545.25678399999993</v>
      </c>
      <c r="Q283" s="76">
        <f>VLOOKUP($H$69,Tabsub,3)</f>
        <v>0</v>
      </c>
      <c r="R283" s="76"/>
      <c r="S283" s="76"/>
      <c r="T283" s="76"/>
      <c r="U283" s="76"/>
      <c r="V283" s="72">
        <f>H283+I283+J283-P283+Q283-R283-S283-T283-U283</f>
        <v>4976.0232159999996</v>
      </c>
      <c r="W283" s="72">
        <f>V283-I283</f>
        <v>4576.0232159999996</v>
      </c>
      <c r="Y283" s="14">
        <f>+H283+I283+J283+Q283-P283-R283-S283-T283-U283</f>
        <v>4976.0232159999996</v>
      </c>
      <c r="Z283" s="14">
        <f>+V283-I283</f>
        <v>4576.0232159999996</v>
      </c>
    </row>
    <row r="284" spans="1:26" ht="18" x14ac:dyDescent="0.25">
      <c r="A284" s="32">
        <v>161</v>
      </c>
      <c r="B284" s="48">
        <v>2859167285</v>
      </c>
      <c r="C284" s="16" t="s">
        <v>442</v>
      </c>
      <c r="D284" s="168" t="s">
        <v>443</v>
      </c>
      <c r="E284" s="19" t="s">
        <v>444</v>
      </c>
      <c r="F284" s="67">
        <v>16</v>
      </c>
      <c r="G284" s="76">
        <v>320.08</v>
      </c>
      <c r="H284" s="76">
        <f>F284*G284</f>
        <v>5121.28</v>
      </c>
      <c r="I284" s="76">
        <v>400</v>
      </c>
      <c r="J284" s="76"/>
      <c r="K284" s="76">
        <f>VLOOKUP($H$283,Tabisr,1)</f>
        <v>5081.01</v>
      </c>
      <c r="L284" s="72">
        <f>+H284-K284</f>
        <v>40.269999999999527</v>
      </c>
      <c r="M284" s="77">
        <f>VLOOKUP($H$283,Tabisr,4)</f>
        <v>0.21360000000000001</v>
      </c>
      <c r="N284" s="76">
        <f>(H284-4244.01)*17.92%</f>
        <v>157.20678399999994</v>
      </c>
      <c r="O284" s="76">
        <v>388.05</v>
      </c>
      <c r="P284" s="76">
        <f>N284+O284</f>
        <v>545.25678399999993</v>
      </c>
      <c r="Q284" s="76">
        <f>VLOOKUP($H$69,Tabsub,3)</f>
        <v>0</v>
      </c>
      <c r="R284" s="76"/>
      <c r="S284" s="76"/>
      <c r="T284" s="76"/>
      <c r="U284" s="76"/>
      <c r="V284" s="72">
        <f>H284+I284+J284-P284+Q284-R284-S284-T284-U284</f>
        <v>4976.0232159999996</v>
      </c>
      <c r="W284" s="72">
        <f>V284-I284</f>
        <v>4576.0232159999996</v>
      </c>
      <c r="Y284" s="14">
        <f>+H284+I284+J284+Q284-P284-R284-S284-T284-U284</f>
        <v>4976.0232159999996</v>
      </c>
      <c r="Z284" s="14">
        <f>+V284-I284</f>
        <v>4576.0232159999996</v>
      </c>
    </row>
    <row r="285" spans="1:26" x14ac:dyDescent="0.25">
      <c r="A285" s="43"/>
      <c r="B285" s="58"/>
      <c r="C285" s="163"/>
      <c r="D285" s="163"/>
      <c r="E285" s="27"/>
      <c r="F285" s="73"/>
      <c r="G285" s="74"/>
      <c r="H285" s="75">
        <f>+SUM(H283:H284)</f>
        <v>10242.56</v>
      </c>
      <c r="I285" s="75">
        <f>+SUM(I283:I284)</f>
        <v>800</v>
      </c>
      <c r="J285" s="75">
        <f t="shared" ref="J285:W285" si="135">+SUM(J283:J284)</f>
        <v>0</v>
      </c>
      <c r="K285" s="75">
        <f t="shared" si="135"/>
        <v>10162.02</v>
      </c>
      <c r="L285" s="75">
        <f t="shared" si="135"/>
        <v>80.539999999999054</v>
      </c>
      <c r="M285" s="75">
        <f t="shared" si="135"/>
        <v>0.42720000000000002</v>
      </c>
      <c r="N285" s="75">
        <f t="shared" si="135"/>
        <v>314.41356799999988</v>
      </c>
      <c r="O285" s="75">
        <f t="shared" si="135"/>
        <v>776.1</v>
      </c>
      <c r="P285" s="75">
        <f t="shared" si="135"/>
        <v>1090.5135679999999</v>
      </c>
      <c r="Q285" s="75">
        <f t="shared" si="135"/>
        <v>0</v>
      </c>
      <c r="R285" s="75">
        <f t="shared" si="135"/>
        <v>0</v>
      </c>
      <c r="S285" s="75">
        <f t="shared" si="135"/>
        <v>0</v>
      </c>
      <c r="T285" s="75">
        <f t="shared" si="135"/>
        <v>0</v>
      </c>
      <c r="U285" s="75">
        <f t="shared" si="135"/>
        <v>0</v>
      </c>
      <c r="V285" s="75">
        <f t="shared" si="135"/>
        <v>9952.0464319999992</v>
      </c>
      <c r="W285" s="75">
        <f t="shared" si="135"/>
        <v>9152.0464319999992</v>
      </c>
      <c r="Y285" s="15">
        <f>+SUM(Y283:Y284)</f>
        <v>9952.0464319999992</v>
      </c>
      <c r="Z285" s="15">
        <f>+SUM(Z283:Z284)</f>
        <v>9152.0464319999992</v>
      </c>
    </row>
    <row r="286" spans="1:26" x14ac:dyDescent="0.25">
      <c r="A286" s="43"/>
      <c r="B286" s="58"/>
      <c r="C286" s="163"/>
      <c r="D286" s="163"/>
      <c r="E286" s="27"/>
      <c r="F286" s="73"/>
      <c r="G286" s="74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Y286" s="15"/>
      <c r="Z286" s="15"/>
    </row>
    <row r="287" spans="1:26" x14ac:dyDescent="0.25">
      <c r="A287" s="43"/>
      <c r="B287" s="58"/>
      <c r="C287" s="163"/>
      <c r="D287" s="163"/>
      <c r="E287" s="27"/>
      <c r="F287" s="73"/>
      <c r="G287" s="74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Y287" s="15"/>
      <c r="Z287" s="15"/>
    </row>
    <row r="288" spans="1:26" x14ac:dyDescent="0.25">
      <c r="A288" s="43"/>
      <c r="B288" s="58"/>
      <c r="C288" s="163"/>
      <c r="D288" s="163"/>
      <c r="E288" s="27"/>
      <c r="F288" s="73"/>
      <c r="G288" s="74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Y288" s="15"/>
      <c r="Z288" s="15"/>
    </row>
    <row r="289" spans="1:26" ht="18.75" x14ac:dyDescent="0.25">
      <c r="A289" s="277" t="s">
        <v>401</v>
      </c>
      <c r="B289" s="278"/>
      <c r="C289" s="278"/>
      <c r="D289" s="278"/>
      <c r="E289" s="278"/>
      <c r="F289" s="278"/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/>
      <c r="W289" s="279"/>
      <c r="Y289" s="14"/>
      <c r="Z289" s="14"/>
    </row>
    <row r="290" spans="1:26" ht="35.25" customHeight="1" x14ac:dyDescent="0.25">
      <c r="A290" s="41" t="s">
        <v>69</v>
      </c>
      <c r="B290" s="52" t="s">
        <v>588</v>
      </c>
      <c r="C290" s="31" t="s">
        <v>17</v>
      </c>
      <c r="D290" s="31" t="s">
        <v>161</v>
      </c>
      <c r="E290" s="31" t="s">
        <v>143</v>
      </c>
      <c r="F290" s="31" t="s">
        <v>27</v>
      </c>
      <c r="G290" s="31" t="s">
        <v>19</v>
      </c>
      <c r="H290" s="31" t="s">
        <v>18</v>
      </c>
      <c r="I290" s="31" t="s">
        <v>66</v>
      </c>
      <c r="J290" s="31" t="s">
        <v>74</v>
      </c>
      <c r="K290" s="50" t="s">
        <v>301</v>
      </c>
      <c r="L290" s="50" t="s">
        <v>302</v>
      </c>
      <c r="M290" s="50" t="s">
        <v>303</v>
      </c>
      <c r="N290" s="50" t="s">
        <v>304</v>
      </c>
      <c r="O290" s="31" t="s">
        <v>305</v>
      </c>
      <c r="P290" s="31" t="s">
        <v>67</v>
      </c>
      <c r="Q290" s="31" t="s">
        <v>68</v>
      </c>
      <c r="R290" s="31" t="s">
        <v>20</v>
      </c>
      <c r="S290" s="31" t="s">
        <v>452</v>
      </c>
      <c r="T290" s="31" t="s">
        <v>72</v>
      </c>
      <c r="U290" s="31" t="s">
        <v>157</v>
      </c>
      <c r="V290" s="31" t="s">
        <v>155</v>
      </c>
      <c r="W290" s="31" t="s">
        <v>156</v>
      </c>
      <c r="Y290" s="14"/>
      <c r="Z290" s="14"/>
    </row>
    <row r="291" spans="1:26" x14ac:dyDescent="0.25">
      <c r="A291" s="32">
        <v>162</v>
      </c>
      <c r="B291" s="48">
        <v>1585782328</v>
      </c>
      <c r="C291" s="16" t="s">
        <v>416</v>
      </c>
      <c r="D291" s="16" t="s">
        <v>564</v>
      </c>
      <c r="E291" s="19" t="s">
        <v>308</v>
      </c>
      <c r="F291" s="67">
        <v>16</v>
      </c>
      <c r="G291" s="76">
        <v>594.66999999999996</v>
      </c>
      <c r="H291" s="76">
        <f t="shared" ref="H291:H296" si="136">F291*G291</f>
        <v>9514.7199999999993</v>
      </c>
      <c r="I291" s="76"/>
      <c r="J291" s="76"/>
      <c r="K291" s="76">
        <f>VLOOKUP($H$212,Tabisr,1)</f>
        <v>5081.01</v>
      </c>
      <c r="L291" s="72">
        <f t="shared" ref="L291:L296" si="137">+H291-K291</f>
        <v>4433.7099999999991</v>
      </c>
      <c r="M291" s="77">
        <f>VLOOKUP($H$212,Tabisr,4)</f>
        <v>0.21360000000000001</v>
      </c>
      <c r="N291" s="76">
        <f>(H291-5081.01)*21.36%</f>
        <v>947.04045599999972</v>
      </c>
      <c r="O291" s="76">
        <v>538.20000000000005</v>
      </c>
      <c r="P291" s="76">
        <f t="shared" ref="P291:P296" si="138">N291+O291</f>
        <v>1485.2404559999998</v>
      </c>
      <c r="Q291" s="76">
        <f>VLOOKUP($H$212,Tabsub,3)</f>
        <v>0</v>
      </c>
      <c r="R291" s="76">
        <v>3700</v>
      </c>
      <c r="S291" s="76"/>
      <c r="T291" s="76"/>
      <c r="U291" s="76"/>
      <c r="V291" s="72">
        <f t="shared" ref="V291:V296" si="139">H291+I291+J291-P291+Q291-R291-S291-T291-U291</f>
        <v>4329.4795439999998</v>
      </c>
      <c r="W291" s="72">
        <f t="shared" ref="W291:W296" si="140">V291-I291</f>
        <v>4329.4795439999998</v>
      </c>
      <c r="Y291" s="14">
        <f t="shared" ref="Y291:Y296" si="141">+H291+I291+J291+Q291-P291-R291-S291-T291-U291</f>
        <v>4329.4795439999998</v>
      </c>
      <c r="Z291" s="14">
        <f t="shared" ref="Z291:Z296" si="142">+V291-I291</f>
        <v>4329.4795439999998</v>
      </c>
    </row>
    <row r="292" spans="1:26" s="10" customFormat="1" x14ac:dyDescent="0.25">
      <c r="A292" s="33">
        <v>163</v>
      </c>
      <c r="B292" s="48">
        <v>1585782336</v>
      </c>
      <c r="C292" s="16" t="s">
        <v>6</v>
      </c>
      <c r="D292" s="162" t="s">
        <v>175</v>
      </c>
      <c r="E292" s="203" t="s">
        <v>148</v>
      </c>
      <c r="F292" s="67">
        <v>16</v>
      </c>
      <c r="G292" s="100">
        <v>258.18</v>
      </c>
      <c r="H292" s="68">
        <f t="shared" si="136"/>
        <v>4130.88</v>
      </c>
      <c r="I292" s="68">
        <v>400</v>
      </c>
      <c r="J292" s="68"/>
      <c r="K292" s="68">
        <f>VLOOKUP($H$293,Tabisr,1)</f>
        <v>3651.01</v>
      </c>
      <c r="L292" s="70">
        <f t="shared" si="137"/>
        <v>479.86999999999989</v>
      </c>
      <c r="M292" s="71">
        <f>VLOOKUP($H$293,Tabisr,4)</f>
        <v>0.16</v>
      </c>
      <c r="N292" s="68">
        <f>(H292-3651.01)*16%</f>
        <v>76.779199999999989</v>
      </c>
      <c r="O292" s="68">
        <v>293.25</v>
      </c>
      <c r="P292" s="68">
        <f t="shared" si="138"/>
        <v>370.0292</v>
      </c>
      <c r="Q292" s="68">
        <f>VLOOKUP($H$292,Tabsub,3)</f>
        <v>0</v>
      </c>
      <c r="R292" s="64"/>
      <c r="S292" s="64">
        <v>2300</v>
      </c>
      <c r="T292" s="69"/>
      <c r="U292" s="69"/>
      <c r="V292" s="72">
        <f t="shared" si="139"/>
        <v>1860.8508000000002</v>
      </c>
      <c r="W292" s="70">
        <f t="shared" si="140"/>
        <v>1460.8508000000002</v>
      </c>
      <c r="Y292" s="14">
        <f t="shared" si="141"/>
        <v>1860.8508000000002</v>
      </c>
      <c r="Z292" s="14">
        <f t="shared" si="142"/>
        <v>1460.8508000000002</v>
      </c>
    </row>
    <row r="293" spans="1:26" s="10" customFormat="1" ht="23.25" customHeight="1" x14ac:dyDescent="0.25">
      <c r="A293" s="32">
        <v>164</v>
      </c>
      <c r="B293" s="48">
        <v>1585782344</v>
      </c>
      <c r="C293" s="180" t="s">
        <v>33</v>
      </c>
      <c r="D293" s="162" t="s">
        <v>175</v>
      </c>
      <c r="E293" s="162" t="s">
        <v>104</v>
      </c>
      <c r="F293" s="67">
        <v>16</v>
      </c>
      <c r="G293" s="68">
        <v>258.18</v>
      </c>
      <c r="H293" s="68">
        <f t="shared" si="136"/>
        <v>4130.88</v>
      </c>
      <c r="I293" s="68">
        <v>400</v>
      </c>
      <c r="J293" s="68"/>
      <c r="K293" s="68">
        <f>VLOOKUP($H$293,Tabisr,1)</f>
        <v>3651.01</v>
      </c>
      <c r="L293" s="70">
        <f t="shared" si="137"/>
        <v>479.86999999999989</v>
      </c>
      <c r="M293" s="71">
        <f>VLOOKUP($H$293,Tabisr,4)</f>
        <v>0.16</v>
      </c>
      <c r="N293" s="68">
        <f>(H293-3651.01)*16%</f>
        <v>76.779199999999989</v>
      </c>
      <c r="O293" s="76">
        <v>293.25</v>
      </c>
      <c r="P293" s="68">
        <f t="shared" si="138"/>
        <v>370.0292</v>
      </c>
      <c r="Q293" s="68">
        <f>VLOOKUP($H$293,Tabsub,3)</f>
        <v>0</v>
      </c>
      <c r="R293" s="68">
        <v>1050</v>
      </c>
      <c r="S293" s="68"/>
      <c r="T293" s="68"/>
      <c r="U293" s="68">
        <v>300</v>
      </c>
      <c r="V293" s="72">
        <f t="shared" si="139"/>
        <v>2810.8508000000002</v>
      </c>
      <c r="W293" s="72">
        <f t="shared" si="140"/>
        <v>2410.8508000000002</v>
      </c>
      <c r="Y293" s="14">
        <f t="shared" si="141"/>
        <v>2810.8508000000002</v>
      </c>
      <c r="Z293" s="14">
        <f t="shared" si="142"/>
        <v>2410.8508000000002</v>
      </c>
    </row>
    <row r="294" spans="1:26" x14ac:dyDescent="0.25">
      <c r="A294" s="32">
        <v>165</v>
      </c>
      <c r="B294" s="48">
        <v>2886007678</v>
      </c>
      <c r="C294" s="16" t="s">
        <v>333</v>
      </c>
      <c r="D294" s="162" t="s">
        <v>175</v>
      </c>
      <c r="E294" s="21" t="s">
        <v>334</v>
      </c>
      <c r="F294" s="67">
        <v>16</v>
      </c>
      <c r="G294" s="68">
        <v>258.18</v>
      </c>
      <c r="H294" s="68">
        <f t="shared" si="136"/>
        <v>4130.88</v>
      </c>
      <c r="I294" s="68">
        <v>400</v>
      </c>
      <c r="J294" s="68"/>
      <c r="K294" s="68">
        <f>VLOOKUP($H$293,Tabisr,1)</f>
        <v>3651.01</v>
      </c>
      <c r="L294" s="70">
        <f t="shared" si="137"/>
        <v>479.86999999999989</v>
      </c>
      <c r="M294" s="71">
        <f>VLOOKUP($H$293,Tabisr,4)</f>
        <v>0.16</v>
      </c>
      <c r="N294" s="68">
        <f>(H294-3651.01)*16%</f>
        <v>76.779199999999989</v>
      </c>
      <c r="O294" s="76">
        <v>293.25</v>
      </c>
      <c r="P294" s="68">
        <f t="shared" si="138"/>
        <v>370.0292</v>
      </c>
      <c r="Q294" s="68">
        <f>VLOOKUP($H$293,Tabsub,3)</f>
        <v>0</v>
      </c>
      <c r="R294" s="68">
        <v>1100</v>
      </c>
      <c r="S294" s="68"/>
      <c r="T294" s="68"/>
      <c r="U294" s="68"/>
      <c r="V294" s="72">
        <f t="shared" si="139"/>
        <v>3060.8508000000002</v>
      </c>
      <c r="W294" s="72">
        <f t="shared" si="140"/>
        <v>2660.8508000000002</v>
      </c>
      <c r="Y294" s="14">
        <f t="shared" si="141"/>
        <v>3060.8508000000002</v>
      </c>
      <c r="Z294" s="14">
        <f t="shared" si="142"/>
        <v>2660.8508000000002</v>
      </c>
    </row>
    <row r="295" spans="1:26" x14ac:dyDescent="0.25">
      <c r="A295" s="32">
        <v>166</v>
      </c>
      <c r="B295" s="48">
        <v>1585782354</v>
      </c>
      <c r="C295" s="161" t="s">
        <v>325</v>
      </c>
      <c r="D295" s="162" t="s">
        <v>175</v>
      </c>
      <c r="E295" s="162" t="s">
        <v>326</v>
      </c>
      <c r="F295" s="67">
        <v>16</v>
      </c>
      <c r="G295" s="76">
        <v>258.18</v>
      </c>
      <c r="H295" s="76">
        <f t="shared" si="136"/>
        <v>4130.88</v>
      </c>
      <c r="I295" s="76">
        <v>400</v>
      </c>
      <c r="J295" s="68"/>
      <c r="K295" s="76">
        <f>VLOOKUP($H$293,Tabisr,1)</f>
        <v>3651.01</v>
      </c>
      <c r="L295" s="72">
        <f t="shared" si="137"/>
        <v>479.86999999999989</v>
      </c>
      <c r="M295" s="77">
        <f>VLOOKUP($H$293,Tabisr,4)</f>
        <v>0.16</v>
      </c>
      <c r="N295" s="76">
        <f>(H295-3651.01)*16%</f>
        <v>76.779199999999989</v>
      </c>
      <c r="O295" s="76">
        <v>293.25</v>
      </c>
      <c r="P295" s="76">
        <f t="shared" si="138"/>
        <v>370.0292</v>
      </c>
      <c r="Q295" s="76">
        <f>VLOOKUP($H$293,Tabsub,3)</f>
        <v>0</v>
      </c>
      <c r="R295" s="76"/>
      <c r="S295" s="76"/>
      <c r="T295" s="76"/>
      <c r="U295" s="76"/>
      <c r="V295" s="72">
        <f t="shared" si="139"/>
        <v>4160.8508000000002</v>
      </c>
      <c r="W295" s="72">
        <f t="shared" si="140"/>
        <v>3760.8508000000002</v>
      </c>
      <c r="Y295" s="14">
        <f t="shared" si="141"/>
        <v>4160.8508000000002</v>
      </c>
      <c r="Z295" s="14">
        <f t="shared" si="142"/>
        <v>3760.8508000000002</v>
      </c>
    </row>
    <row r="296" spans="1:26" x14ac:dyDescent="0.25">
      <c r="A296" s="33">
        <v>167</v>
      </c>
      <c r="B296" s="48">
        <v>1585782361</v>
      </c>
      <c r="C296" s="161" t="s">
        <v>146</v>
      </c>
      <c r="D296" s="162" t="s">
        <v>175</v>
      </c>
      <c r="E296" s="203" t="s">
        <v>158</v>
      </c>
      <c r="F296" s="67">
        <v>16</v>
      </c>
      <c r="G296" s="68">
        <v>258.18</v>
      </c>
      <c r="H296" s="68">
        <f t="shared" si="136"/>
        <v>4130.88</v>
      </c>
      <c r="I296" s="120">
        <v>400</v>
      </c>
      <c r="J296" s="120"/>
      <c r="K296" s="68">
        <f>VLOOKUP($H$293,Tabisr,1)</f>
        <v>3651.01</v>
      </c>
      <c r="L296" s="70">
        <f t="shared" si="137"/>
        <v>479.86999999999989</v>
      </c>
      <c r="M296" s="71">
        <f>VLOOKUP($H$293,Tabisr,4)</f>
        <v>0.16</v>
      </c>
      <c r="N296" s="68">
        <f>(H296-3651.01)*16%</f>
        <v>76.779199999999989</v>
      </c>
      <c r="O296" s="76">
        <v>293.25</v>
      </c>
      <c r="P296" s="68">
        <f t="shared" si="138"/>
        <v>370.0292</v>
      </c>
      <c r="Q296" s="68">
        <f>VLOOKUP($H$293,Tabsub,3)</f>
        <v>0</v>
      </c>
      <c r="R296" s="120"/>
      <c r="S296" s="120">
        <v>1100</v>
      </c>
      <c r="T296" s="120"/>
      <c r="U296" s="64"/>
      <c r="V296" s="72">
        <f t="shared" si="139"/>
        <v>3060.8508000000002</v>
      </c>
      <c r="W296" s="70">
        <f t="shared" si="140"/>
        <v>2660.8508000000002</v>
      </c>
      <c r="Y296" s="14">
        <f t="shared" si="141"/>
        <v>3060.8508000000002</v>
      </c>
      <c r="Z296" s="14">
        <f t="shared" si="142"/>
        <v>2660.8508000000002</v>
      </c>
    </row>
    <row r="297" spans="1:26" x14ac:dyDescent="0.25">
      <c r="A297" s="43"/>
      <c r="B297" s="58"/>
      <c r="C297" s="163"/>
      <c r="D297" s="27"/>
      <c r="E297" s="27"/>
      <c r="F297" s="73"/>
      <c r="G297" s="74"/>
      <c r="H297" s="80">
        <f>+SUM(H291:H296)</f>
        <v>30169.120000000003</v>
      </c>
      <c r="I297" s="80">
        <f>+SUM(I291:I296)</f>
        <v>2000</v>
      </c>
      <c r="J297" s="80">
        <f t="shared" ref="J297:W297" si="143">+SUM(J291:J296)</f>
        <v>0</v>
      </c>
      <c r="K297" s="80">
        <f t="shared" si="143"/>
        <v>23336.060000000005</v>
      </c>
      <c r="L297" s="80">
        <f t="shared" si="143"/>
        <v>6833.0599999999986</v>
      </c>
      <c r="M297" s="80">
        <f t="shared" si="143"/>
        <v>1.0136000000000001</v>
      </c>
      <c r="N297" s="80">
        <f t="shared" si="143"/>
        <v>1330.9364559999995</v>
      </c>
      <c r="O297" s="80">
        <f t="shared" si="143"/>
        <v>2004.45</v>
      </c>
      <c r="P297" s="80">
        <f t="shared" si="143"/>
        <v>3335.3864559999997</v>
      </c>
      <c r="Q297" s="80">
        <f t="shared" si="143"/>
        <v>0</v>
      </c>
      <c r="R297" s="80">
        <f t="shared" si="143"/>
        <v>5850</v>
      </c>
      <c r="S297" s="80">
        <f t="shared" si="143"/>
        <v>3400</v>
      </c>
      <c r="T297" s="80">
        <f t="shared" si="143"/>
        <v>0</v>
      </c>
      <c r="U297" s="80">
        <f t="shared" si="143"/>
        <v>300</v>
      </c>
      <c r="V297" s="80">
        <f t="shared" si="143"/>
        <v>19283.733544000002</v>
      </c>
      <c r="W297" s="80">
        <f t="shared" si="143"/>
        <v>17283.733544000002</v>
      </c>
      <c r="Y297" s="15">
        <f>+SUM(Y291:Y296)</f>
        <v>19283.733544000002</v>
      </c>
      <c r="Z297" s="15">
        <f>+SUM(Z291:Z296)</f>
        <v>17283.733544000002</v>
      </c>
    </row>
    <row r="298" spans="1:26" x14ac:dyDescent="0.25">
      <c r="A298" s="43"/>
      <c r="B298" s="58"/>
      <c r="C298" s="163"/>
      <c r="D298" s="27"/>
      <c r="E298" s="27"/>
      <c r="F298" s="73"/>
      <c r="G298" s="74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Y298" s="15"/>
      <c r="Z298" s="15"/>
    </row>
    <row r="299" spans="1:26" x14ac:dyDescent="0.25">
      <c r="A299" s="43"/>
      <c r="B299" s="58"/>
      <c r="C299" s="163"/>
      <c r="D299" s="27"/>
      <c r="E299" s="27"/>
      <c r="F299" s="73"/>
      <c r="G299" s="74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75"/>
      <c r="W299" s="75"/>
      <c r="Y299" s="14"/>
      <c r="Z299" s="14"/>
    </row>
    <row r="300" spans="1:26" ht="18.75" x14ac:dyDescent="0.25">
      <c r="A300" s="277" t="s">
        <v>378</v>
      </c>
      <c r="B300" s="278"/>
      <c r="C300" s="278"/>
      <c r="D300" s="278"/>
      <c r="E300" s="278"/>
      <c r="F300" s="278"/>
      <c r="G300" s="278"/>
      <c r="H300" s="278"/>
      <c r="I300" s="278"/>
      <c r="J300" s="278"/>
      <c r="K300" s="278"/>
      <c r="L300" s="278"/>
      <c r="M300" s="278"/>
      <c r="N300" s="278"/>
      <c r="O300" s="278"/>
      <c r="P300" s="278"/>
      <c r="Q300" s="278"/>
      <c r="R300" s="278"/>
      <c r="S300" s="278"/>
      <c r="T300" s="278"/>
      <c r="U300" s="278"/>
      <c r="V300" s="278"/>
      <c r="W300" s="279"/>
      <c r="Y300" s="14"/>
      <c r="Z300" s="14"/>
    </row>
    <row r="301" spans="1:26" s="10" customFormat="1" ht="37.5" customHeight="1" x14ac:dyDescent="0.25">
      <c r="A301" s="41" t="s">
        <v>69</v>
      </c>
      <c r="B301" s="52" t="s">
        <v>588</v>
      </c>
      <c r="C301" s="31" t="s">
        <v>17</v>
      </c>
      <c r="D301" s="31" t="s">
        <v>161</v>
      </c>
      <c r="E301" s="31" t="s">
        <v>143</v>
      </c>
      <c r="F301" s="31" t="s">
        <v>27</v>
      </c>
      <c r="G301" s="31" t="s">
        <v>19</v>
      </c>
      <c r="H301" s="31" t="s">
        <v>18</v>
      </c>
      <c r="I301" s="31" t="s">
        <v>66</v>
      </c>
      <c r="J301" s="31" t="s">
        <v>74</v>
      </c>
      <c r="K301" s="50" t="s">
        <v>301</v>
      </c>
      <c r="L301" s="50" t="s">
        <v>302</v>
      </c>
      <c r="M301" s="50" t="s">
        <v>303</v>
      </c>
      <c r="N301" s="50" t="s">
        <v>304</v>
      </c>
      <c r="O301" s="31" t="s">
        <v>305</v>
      </c>
      <c r="P301" s="31" t="s">
        <v>67</v>
      </c>
      <c r="Q301" s="31" t="s">
        <v>68</v>
      </c>
      <c r="R301" s="31" t="s">
        <v>20</v>
      </c>
      <c r="S301" s="31" t="s">
        <v>452</v>
      </c>
      <c r="T301" s="31" t="s">
        <v>72</v>
      </c>
      <c r="U301" s="31" t="s">
        <v>157</v>
      </c>
      <c r="V301" s="31" t="s">
        <v>155</v>
      </c>
      <c r="W301" s="31" t="s">
        <v>156</v>
      </c>
      <c r="Y301" s="14"/>
      <c r="Z301" s="14"/>
    </row>
    <row r="302" spans="1:26" s="12" customFormat="1" ht="22.5" x14ac:dyDescent="0.25">
      <c r="A302" s="39">
        <v>168</v>
      </c>
      <c r="B302" s="56"/>
      <c r="C302" s="184" t="s">
        <v>371</v>
      </c>
      <c r="D302" s="22" t="s">
        <v>370</v>
      </c>
      <c r="E302" s="26" t="s">
        <v>419</v>
      </c>
      <c r="F302" s="94">
        <v>16</v>
      </c>
      <c r="G302" s="95">
        <v>393.95</v>
      </c>
      <c r="H302" s="95">
        <f>F302*G302</f>
        <v>6303.2</v>
      </c>
      <c r="I302" s="95">
        <v>400</v>
      </c>
      <c r="J302" s="39"/>
      <c r="K302" s="95">
        <f>VLOOKUP($H$206,Tabisr,1)</f>
        <v>5081.01</v>
      </c>
      <c r="L302" s="97">
        <f>+H302-K302</f>
        <v>1222.1899999999996</v>
      </c>
      <c r="M302" s="98">
        <f>VLOOKUP($H$206,Tabisr,4)</f>
        <v>0.21360000000000001</v>
      </c>
      <c r="N302" s="95">
        <f>+L302*M302</f>
        <v>261.05978399999992</v>
      </c>
      <c r="O302" s="95">
        <f>VLOOKUP($H$206,Tabisr,3)</f>
        <v>538.20000000000005</v>
      </c>
      <c r="P302" s="96">
        <f>+N302+O302</f>
        <v>799.25978399999997</v>
      </c>
      <c r="Q302" s="95"/>
      <c r="R302" s="95"/>
      <c r="S302" s="95"/>
      <c r="T302" s="95"/>
      <c r="U302" s="95"/>
      <c r="V302" s="97">
        <f t="shared" ref="V302:V319" si="144">H302+I302+J302-P302+Q302-R302-S302-T302-U302</f>
        <v>5903.940216</v>
      </c>
      <c r="W302" s="97">
        <f t="shared" ref="W302:W319" si="145">V302-I302</f>
        <v>5503.940216</v>
      </c>
      <c r="Y302" s="14">
        <f t="shared" ref="Y302:Y319" si="146">+H302+I302+J302+Q302-P302-R302-S302-T302-U302</f>
        <v>5903.940216</v>
      </c>
      <c r="Z302" s="14">
        <f t="shared" ref="Z302:Z319" si="147">+V302-I302</f>
        <v>5503.940216</v>
      </c>
    </row>
    <row r="303" spans="1:26" s="12" customFormat="1" x14ac:dyDescent="0.25">
      <c r="A303" s="33">
        <v>169</v>
      </c>
      <c r="B303" s="48">
        <v>1585782379</v>
      </c>
      <c r="C303" s="16" t="s">
        <v>412</v>
      </c>
      <c r="D303" s="162" t="s">
        <v>163</v>
      </c>
      <c r="E303" s="203" t="s">
        <v>120</v>
      </c>
      <c r="F303" s="67">
        <v>16</v>
      </c>
      <c r="G303" s="68">
        <v>250.29</v>
      </c>
      <c r="H303" s="68">
        <f>F303*G303</f>
        <v>4004.64</v>
      </c>
      <c r="I303" s="120">
        <v>400</v>
      </c>
      <c r="J303" s="120"/>
      <c r="K303" s="68">
        <f>VLOOKUP($H$62,Tabisr,1)</f>
        <v>3651.01</v>
      </c>
      <c r="L303" s="70">
        <f>+H303-K303</f>
        <v>353.62999999999965</v>
      </c>
      <c r="M303" s="71">
        <f>VLOOKUP($H$62,Tabisr,4)</f>
        <v>0.16</v>
      </c>
      <c r="N303" s="68">
        <f>(H303-3651.01)*16%</f>
        <v>56.580799999999947</v>
      </c>
      <c r="O303" s="68">
        <v>293.25</v>
      </c>
      <c r="P303" s="68">
        <f>O303+N303</f>
        <v>349.83079999999995</v>
      </c>
      <c r="Q303" s="68">
        <f>VLOOKUP($H$62,Tabsub,3)</f>
        <v>0</v>
      </c>
      <c r="R303" s="120">
        <v>820</v>
      </c>
      <c r="S303" s="120"/>
      <c r="T303" s="120"/>
      <c r="U303" s="120"/>
      <c r="V303" s="72">
        <f t="shared" si="144"/>
        <v>3234.8091999999997</v>
      </c>
      <c r="W303" s="70">
        <f t="shared" si="145"/>
        <v>2834.8091999999997</v>
      </c>
      <c r="Y303" s="14">
        <f t="shared" si="146"/>
        <v>3234.8091999999997</v>
      </c>
      <c r="Z303" s="14">
        <f t="shared" si="147"/>
        <v>2834.8091999999997</v>
      </c>
    </row>
    <row r="304" spans="1:26" s="12" customFormat="1" x14ac:dyDescent="0.25">
      <c r="A304" s="32">
        <v>170</v>
      </c>
      <c r="B304" s="48">
        <v>1585782387</v>
      </c>
      <c r="C304" s="161" t="s">
        <v>9</v>
      </c>
      <c r="D304" s="162" t="s">
        <v>166</v>
      </c>
      <c r="E304" s="162" t="s">
        <v>124</v>
      </c>
      <c r="F304" s="67">
        <v>16</v>
      </c>
      <c r="G304" s="68">
        <v>207.19</v>
      </c>
      <c r="H304" s="68">
        <f>F304*G304</f>
        <v>3315.04</v>
      </c>
      <c r="I304" s="68">
        <v>400</v>
      </c>
      <c r="J304" s="68"/>
      <c r="K304" s="68">
        <f>VLOOKUP($H$304,Tabisr,1)</f>
        <v>2077.5100000000002</v>
      </c>
      <c r="L304" s="70">
        <f>+H304-K304</f>
        <v>1237.5299999999997</v>
      </c>
      <c r="M304" s="71">
        <f>VLOOKUP($H$304,Tabisr,4)</f>
        <v>0.10879999999999999</v>
      </c>
      <c r="N304" s="68">
        <f>(H304-2077.51)*10.88%</f>
        <v>134.64326399999999</v>
      </c>
      <c r="O304" s="76">
        <v>121.95</v>
      </c>
      <c r="P304" s="68">
        <f>N304+O304</f>
        <v>256.59326399999998</v>
      </c>
      <c r="Q304" s="68">
        <v>125.1</v>
      </c>
      <c r="R304" s="68">
        <v>540</v>
      </c>
      <c r="S304" s="68"/>
      <c r="T304" s="68"/>
      <c r="U304" s="68"/>
      <c r="V304" s="72">
        <f t="shared" si="144"/>
        <v>3043.5467359999998</v>
      </c>
      <c r="W304" s="72">
        <f t="shared" si="145"/>
        <v>2643.5467359999998</v>
      </c>
      <c r="Y304" s="14">
        <f t="shared" si="146"/>
        <v>3043.5467359999998</v>
      </c>
      <c r="Z304" s="14">
        <f t="shared" si="147"/>
        <v>2643.5467359999998</v>
      </c>
    </row>
    <row r="305" spans="1:26" s="10" customFormat="1" x14ac:dyDescent="0.25">
      <c r="A305" s="33">
        <v>171</v>
      </c>
      <c r="B305" s="48">
        <v>1585782395</v>
      </c>
      <c r="C305" s="171" t="s">
        <v>34</v>
      </c>
      <c r="D305" s="28" t="s">
        <v>188</v>
      </c>
      <c r="E305" s="19" t="s">
        <v>105</v>
      </c>
      <c r="F305" s="67">
        <v>16</v>
      </c>
      <c r="G305" s="107">
        <v>258.18</v>
      </c>
      <c r="H305" s="76">
        <f t="shared" ref="H305:H317" si="148">F305*G305</f>
        <v>4130.88</v>
      </c>
      <c r="I305" s="76">
        <v>400</v>
      </c>
      <c r="J305" s="76"/>
      <c r="K305" s="76">
        <f>VLOOKUP($H$305,Tabisr,1)</f>
        <v>3651.01</v>
      </c>
      <c r="L305" s="72">
        <f t="shared" ref="L305:L317" si="149">+H305-K305</f>
        <v>479.86999999999989</v>
      </c>
      <c r="M305" s="77">
        <f>VLOOKUP($H$305,Tabisr,4)</f>
        <v>0.16</v>
      </c>
      <c r="N305" s="76">
        <f>(H305-3651.01)*16%</f>
        <v>76.779199999999989</v>
      </c>
      <c r="O305" s="76">
        <v>293.25</v>
      </c>
      <c r="P305" s="76">
        <f t="shared" ref="P305:P318" si="150">N305+O305</f>
        <v>370.0292</v>
      </c>
      <c r="Q305" s="76">
        <f>VLOOKUP($H$305,Tabsub,3)</f>
        <v>0</v>
      </c>
      <c r="R305" s="76">
        <v>1250</v>
      </c>
      <c r="S305" s="76"/>
      <c r="T305" s="76"/>
      <c r="U305" s="76"/>
      <c r="V305" s="72">
        <f t="shared" si="144"/>
        <v>2910.8508000000002</v>
      </c>
      <c r="W305" s="72">
        <f t="shared" si="145"/>
        <v>2510.8508000000002</v>
      </c>
      <c r="Y305" s="14">
        <f t="shared" si="146"/>
        <v>2910.8508000000002</v>
      </c>
      <c r="Z305" s="14">
        <f t="shared" si="147"/>
        <v>2510.8508000000002</v>
      </c>
    </row>
    <row r="306" spans="1:26" x14ac:dyDescent="0.25">
      <c r="A306" s="32">
        <v>172</v>
      </c>
      <c r="B306" s="48">
        <v>1585782417</v>
      </c>
      <c r="C306" s="171" t="s">
        <v>520</v>
      </c>
      <c r="D306" s="28" t="s">
        <v>188</v>
      </c>
      <c r="E306" s="19" t="s">
        <v>526</v>
      </c>
      <c r="F306" s="67">
        <v>16</v>
      </c>
      <c r="G306" s="107">
        <v>258.18</v>
      </c>
      <c r="H306" s="76">
        <f>F306*G306</f>
        <v>4130.88</v>
      </c>
      <c r="I306" s="76">
        <v>400</v>
      </c>
      <c r="J306" s="76"/>
      <c r="K306" s="76">
        <f>VLOOKUP($H$305,Tabisr,1)</f>
        <v>3651.01</v>
      </c>
      <c r="L306" s="72">
        <f>+H306-K306</f>
        <v>479.86999999999989</v>
      </c>
      <c r="M306" s="77">
        <f>VLOOKUP($H$305,Tabisr,4)</f>
        <v>0.16</v>
      </c>
      <c r="N306" s="76">
        <f>(H306-3651.01)*16%</f>
        <v>76.779199999999989</v>
      </c>
      <c r="O306" s="76">
        <v>293.25</v>
      </c>
      <c r="P306" s="76">
        <f>N306+O306</f>
        <v>370.0292</v>
      </c>
      <c r="Q306" s="76">
        <f>VLOOKUP($H$305,Tabsub,3)</f>
        <v>0</v>
      </c>
      <c r="R306" s="76"/>
      <c r="S306" s="76"/>
      <c r="T306" s="76"/>
      <c r="U306" s="76"/>
      <c r="V306" s="72">
        <f t="shared" si="144"/>
        <v>4160.8508000000002</v>
      </c>
      <c r="W306" s="72">
        <f t="shared" si="145"/>
        <v>3760.8508000000002</v>
      </c>
      <c r="Y306" s="14">
        <f t="shared" si="146"/>
        <v>4160.8508000000002</v>
      </c>
      <c r="Z306" s="14">
        <f t="shared" si="147"/>
        <v>3760.8508000000002</v>
      </c>
    </row>
    <row r="307" spans="1:26" x14ac:dyDescent="0.25">
      <c r="A307" s="39">
        <v>173</v>
      </c>
      <c r="B307" s="56"/>
      <c r="C307" s="184" t="s">
        <v>521</v>
      </c>
      <c r="D307" s="185" t="s">
        <v>188</v>
      </c>
      <c r="E307" s="26" t="s">
        <v>527</v>
      </c>
      <c r="F307" s="94">
        <v>16</v>
      </c>
      <c r="G307" s="124">
        <v>258.18</v>
      </c>
      <c r="H307" s="95">
        <f>F307*G307</f>
        <v>4130.88</v>
      </c>
      <c r="I307" s="95">
        <v>400</v>
      </c>
      <c r="J307" s="95"/>
      <c r="K307" s="95">
        <f>VLOOKUP($H$305,Tabisr,1)</f>
        <v>3651.01</v>
      </c>
      <c r="L307" s="97">
        <f>+H307-K307</f>
        <v>479.86999999999989</v>
      </c>
      <c r="M307" s="98">
        <f>VLOOKUP($H$305,Tabisr,4)</f>
        <v>0.16</v>
      </c>
      <c r="N307" s="95">
        <f>(H307-3651.01)*16%</f>
        <v>76.779199999999989</v>
      </c>
      <c r="O307" s="95">
        <v>293.25</v>
      </c>
      <c r="P307" s="95">
        <f>N307+O307</f>
        <v>370.0292</v>
      </c>
      <c r="Q307" s="95">
        <f>VLOOKUP($H$305,Tabsub,3)</f>
        <v>0</v>
      </c>
      <c r="R307" s="95">
        <v>835</v>
      </c>
      <c r="S307" s="95">
        <v>1062</v>
      </c>
      <c r="T307" s="95"/>
      <c r="U307" s="95"/>
      <c r="V307" s="97">
        <f t="shared" si="144"/>
        <v>2263.8508000000002</v>
      </c>
      <c r="W307" s="97">
        <f t="shared" si="145"/>
        <v>1863.8508000000002</v>
      </c>
      <c r="Y307" s="14">
        <f t="shared" si="146"/>
        <v>2263.8508000000002</v>
      </c>
      <c r="Z307" s="14">
        <f t="shared" si="147"/>
        <v>1863.8508000000002</v>
      </c>
    </row>
    <row r="308" spans="1:26" x14ac:dyDescent="0.25">
      <c r="A308" s="32">
        <v>174</v>
      </c>
      <c r="B308" s="48">
        <v>1585782425</v>
      </c>
      <c r="C308" s="171" t="s">
        <v>233</v>
      </c>
      <c r="D308" s="16" t="s">
        <v>256</v>
      </c>
      <c r="E308" s="19" t="s">
        <v>234</v>
      </c>
      <c r="F308" s="67">
        <v>16</v>
      </c>
      <c r="G308" s="76">
        <v>296.54000000000002</v>
      </c>
      <c r="H308" s="76">
        <f t="shared" si="148"/>
        <v>4744.6400000000003</v>
      </c>
      <c r="I308" s="76">
        <v>400</v>
      </c>
      <c r="J308" s="32"/>
      <c r="K308" s="76">
        <f>VLOOKUP($H$308,Tabisr,1)</f>
        <v>4244.01</v>
      </c>
      <c r="L308" s="72">
        <f t="shared" si="149"/>
        <v>500.63000000000011</v>
      </c>
      <c r="M308" s="77">
        <f>VLOOKUP($H$308,Tabisr,4)</f>
        <v>0.1792</v>
      </c>
      <c r="N308" s="76">
        <f>(H308-4244.01)*17.92%</f>
        <v>89.712896000000029</v>
      </c>
      <c r="O308" s="76">
        <v>388.05</v>
      </c>
      <c r="P308" s="76">
        <f t="shared" si="150"/>
        <v>477.76289600000007</v>
      </c>
      <c r="Q308" s="76">
        <f>VLOOKUP($H$308,Tabsub,3)</f>
        <v>0</v>
      </c>
      <c r="R308" s="76">
        <v>2100</v>
      </c>
      <c r="S308" s="76"/>
      <c r="T308" s="76"/>
      <c r="U308" s="76"/>
      <c r="V308" s="72">
        <f t="shared" si="144"/>
        <v>2566.8771040000001</v>
      </c>
      <c r="W308" s="72">
        <f t="shared" si="145"/>
        <v>2166.8771040000001</v>
      </c>
      <c r="Y308" s="14">
        <f t="shared" si="146"/>
        <v>2566.8771040000001</v>
      </c>
      <c r="Z308" s="14">
        <f t="shared" si="147"/>
        <v>2166.8771040000001</v>
      </c>
    </row>
    <row r="309" spans="1:26" x14ac:dyDescent="0.25">
      <c r="A309" s="33">
        <v>175</v>
      </c>
      <c r="B309" s="48">
        <v>1585781684</v>
      </c>
      <c r="C309" s="16" t="s">
        <v>423</v>
      </c>
      <c r="D309" s="16" t="s">
        <v>175</v>
      </c>
      <c r="E309" s="174" t="s">
        <v>476</v>
      </c>
      <c r="F309" s="67">
        <v>16</v>
      </c>
      <c r="G309" s="76">
        <v>251.21</v>
      </c>
      <c r="H309" s="76">
        <f t="shared" si="148"/>
        <v>4019.36</v>
      </c>
      <c r="I309" s="64">
        <v>400</v>
      </c>
      <c r="J309" s="64"/>
      <c r="K309" s="76">
        <v>5087</v>
      </c>
      <c r="L309" s="72">
        <f t="shared" si="149"/>
        <v>-1067.6399999999999</v>
      </c>
      <c r="M309" s="77">
        <v>6.2135999999999996</v>
      </c>
      <c r="N309" s="76">
        <f>(H309-5081.01)*21.36%</f>
        <v>-226.76844</v>
      </c>
      <c r="O309" s="76">
        <v>544.20000000000005</v>
      </c>
      <c r="P309" s="76">
        <f t="shared" si="150"/>
        <v>317.43156000000005</v>
      </c>
      <c r="Q309" s="76"/>
      <c r="R309" s="64"/>
      <c r="S309" s="64">
        <v>1200</v>
      </c>
      <c r="T309" s="64"/>
      <c r="U309" s="64"/>
      <c r="V309" s="72">
        <f t="shared" si="144"/>
        <v>2901.9284400000006</v>
      </c>
      <c r="W309" s="72">
        <f t="shared" si="145"/>
        <v>2501.9284400000006</v>
      </c>
      <c r="Y309" s="14">
        <f t="shared" si="146"/>
        <v>2901.9284400000006</v>
      </c>
      <c r="Z309" s="14">
        <f t="shared" si="147"/>
        <v>2501.9284400000006</v>
      </c>
    </row>
    <row r="310" spans="1:26" s="10" customFormat="1" x14ac:dyDescent="0.25">
      <c r="A310" s="32">
        <v>176</v>
      </c>
      <c r="B310" s="48">
        <v>1585782174</v>
      </c>
      <c r="C310" s="16" t="s">
        <v>52</v>
      </c>
      <c r="D310" s="16" t="s">
        <v>175</v>
      </c>
      <c r="E310" s="19" t="s">
        <v>134</v>
      </c>
      <c r="F310" s="67">
        <v>16</v>
      </c>
      <c r="G310" s="76">
        <v>251.24</v>
      </c>
      <c r="H310" s="76">
        <f>F310*G310</f>
        <v>4019.84</v>
      </c>
      <c r="I310" s="76">
        <v>400</v>
      </c>
      <c r="J310" s="76"/>
      <c r="K310" s="76">
        <f>VLOOKUP($H$310,Tabisr,1)</f>
        <v>3651.01</v>
      </c>
      <c r="L310" s="72">
        <f>+H310-K310</f>
        <v>368.82999999999993</v>
      </c>
      <c r="M310" s="77">
        <f>VLOOKUP($H$310,Tabisr,4)</f>
        <v>0.16</v>
      </c>
      <c r="N310" s="68">
        <f>(H310-3651.01)*16%</f>
        <v>59.012799999999991</v>
      </c>
      <c r="O310" s="68">
        <v>293.25</v>
      </c>
      <c r="P310" s="68">
        <f>O310+N310</f>
        <v>352.26279999999997</v>
      </c>
      <c r="Q310" s="76">
        <f>VLOOKUP($H$310,Tabsub,3)</f>
        <v>0</v>
      </c>
      <c r="R310" s="76"/>
      <c r="S310" s="76"/>
      <c r="T310" s="76"/>
      <c r="U310" s="76"/>
      <c r="V310" s="72">
        <f t="shared" si="144"/>
        <v>4067.5772000000002</v>
      </c>
      <c r="W310" s="70">
        <f t="shared" si="145"/>
        <v>3667.5772000000002</v>
      </c>
      <c r="Y310" s="14">
        <f t="shared" si="146"/>
        <v>4067.5772000000002</v>
      </c>
      <c r="Z310" s="14">
        <f t="shared" si="147"/>
        <v>3667.5772000000002</v>
      </c>
    </row>
    <row r="311" spans="1:26" s="10" customFormat="1" x14ac:dyDescent="0.25">
      <c r="A311" s="33">
        <v>177</v>
      </c>
      <c r="B311" s="48">
        <v>1585782239</v>
      </c>
      <c r="C311" s="16" t="s">
        <v>613</v>
      </c>
      <c r="D311" s="16" t="s">
        <v>175</v>
      </c>
      <c r="E311" s="19" t="s">
        <v>138</v>
      </c>
      <c r="F311" s="67">
        <v>16</v>
      </c>
      <c r="G311" s="76">
        <v>251.24</v>
      </c>
      <c r="H311" s="76">
        <f>F311*G311</f>
        <v>4019.84</v>
      </c>
      <c r="I311" s="76">
        <v>400</v>
      </c>
      <c r="J311" s="76"/>
      <c r="K311" s="76">
        <f>VLOOKUP($H$311,Tabisr,1)</f>
        <v>3651.01</v>
      </c>
      <c r="L311" s="72">
        <f>+H311-K311</f>
        <v>368.82999999999993</v>
      </c>
      <c r="M311" s="77">
        <f>VLOOKUP($H$311,Tabisr,4)</f>
        <v>0.16</v>
      </c>
      <c r="N311" s="68">
        <f>(H311-3651.01)*16%</f>
        <v>59.012799999999991</v>
      </c>
      <c r="O311" s="68">
        <v>293.25</v>
      </c>
      <c r="P311" s="68">
        <f>O311+N311</f>
        <v>352.26279999999997</v>
      </c>
      <c r="Q311" s="76">
        <f>VLOOKUP($H$311,Tabsub,3)</f>
        <v>0</v>
      </c>
      <c r="R311" s="76"/>
      <c r="S311" s="76"/>
      <c r="T311" s="76"/>
      <c r="U311" s="76"/>
      <c r="V311" s="72">
        <f t="shared" si="144"/>
        <v>4067.5772000000002</v>
      </c>
      <c r="W311" s="70">
        <f t="shared" si="145"/>
        <v>3667.5772000000002</v>
      </c>
      <c r="Y311" s="14">
        <f t="shared" si="146"/>
        <v>4067.5772000000002</v>
      </c>
      <c r="Z311" s="14">
        <f t="shared" si="147"/>
        <v>3667.5772000000002</v>
      </c>
    </row>
    <row r="312" spans="1:26" s="10" customFormat="1" x14ac:dyDescent="0.25">
      <c r="A312" s="32">
        <v>178</v>
      </c>
      <c r="B312" s="48">
        <v>1585782433</v>
      </c>
      <c r="C312" s="180" t="s">
        <v>35</v>
      </c>
      <c r="D312" s="181" t="s">
        <v>189</v>
      </c>
      <c r="E312" s="162" t="s">
        <v>106</v>
      </c>
      <c r="F312" s="67">
        <v>16</v>
      </c>
      <c r="G312" s="100">
        <v>276.02999999999997</v>
      </c>
      <c r="H312" s="68">
        <f t="shared" si="148"/>
        <v>4416.4799999999996</v>
      </c>
      <c r="I312" s="68">
        <v>400</v>
      </c>
      <c r="J312" s="68"/>
      <c r="K312" s="68">
        <f>VLOOKUP($H$312,Tabisr,1)</f>
        <v>4244.01</v>
      </c>
      <c r="L312" s="70">
        <f t="shared" si="149"/>
        <v>172.46999999999935</v>
      </c>
      <c r="M312" s="71">
        <f>VLOOKUP($H$312,Tabisr,4)</f>
        <v>0.1792</v>
      </c>
      <c r="N312" s="68">
        <f t="shared" ref="N312:N317" si="151">(H312-3651.01)*16%</f>
        <v>122.4751999999999</v>
      </c>
      <c r="O312" s="76">
        <v>293.25</v>
      </c>
      <c r="P312" s="68">
        <f t="shared" si="150"/>
        <v>415.72519999999992</v>
      </c>
      <c r="Q312" s="68">
        <f>VLOOKUP($H$312,Tabsub,3)</f>
        <v>0</v>
      </c>
      <c r="R312" s="68"/>
      <c r="S312" s="68"/>
      <c r="T312" s="68"/>
      <c r="U312" s="68"/>
      <c r="V312" s="72">
        <f t="shared" si="144"/>
        <v>4400.7547999999997</v>
      </c>
      <c r="W312" s="72">
        <f t="shared" si="145"/>
        <v>4000.7547999999997</v>
      </c>
      <c r="Y312" s="14">
        <f t="shared" si="146"/>
        <v>4400.7547999999997</v>
      </c>
      <c r="Z312" s="14">
        <f t="shared" si="147"/>
        <v>4000.7547999999997</v>
      </c>
    </row>
    <row r="313" spans="1:26" s="10" customFormat="1" x14ac:dyDescent="0.25">
      <c r="A313" s="33">
        <v>179</v>
      </c>
      <c r="B313" s="48">
        <v>1585782442</v>
      </c>
      <c r="C313" s="180" t="s">
        <v>36</v>
      </c>
      <c r="D313" s="181" t="s">
        <v>189</v>
      </c>
      <c r="E313" s="162" t="s">
        <v>107</v>
      </c>
      <c r="F313" s="67">
        <v>16</v>
      </c>
      <c r="G313" s="100">
        <v>276.02999999999997</v>
      </c>
      <c r="H313" s="68">
        <f t="shared" si="148"/>
        <v>4416.4799999999996</v>
      </c>
      <c r="I313" s="68">
        <v>400</v>
      </c>
      <c r="J313" s="68"/>
      <c r="K313" s="68">
        <f>VLOOKUP($H$313,Tabisr,1)</f>
        <v>4244.01</v>
      </c>
      <c r="L313" s="70">
        <f t="shared" si="149"/>
        <v>172.46999999999935</v>
      </c>
      <c r="M313" s="71">
        <f>VLOOKUP($H$313,Tabisr,4)</f>
        <v>0.1792</v>
      </c>
      <c r="N313" s="68">
        <f t="shared" si="151"/>
        <v>122.4751999999999</v>
      </c>
      <c r="O313" s="76">
        <v>293.25</v>
      </c>
      <c r="P313" s="68">
        <f t="shared" si="150"/>
        <v>415.72519999999992</v>
      </c>
      <c r="Q313" s="68">
        <f>VLOOKUP($H$313,Tabsub,3)</f>
        <v>0</v>
      </c>
      <c r="R313" s="68"/>
      <c r="S313" s="68"/>
      <c r="T313" s="68"/>
      <c r="U313" s="68"/>
      <c r="V313" s="72">
        <f t="shared" si="144"/>
        <v>4400.7547999999997</v>
      </c>
      <c r="W313" s="72">
        <f t="shared" si="145"/>
        <v>4000.7547999999997</v>
      </c>
      <c r="Y313" s="14">
        <f t="shared" si="146"/>
        <v>4400.7547999999997</v>
      </c>
      <c r="Z313" s="14">
        <f t="shared" si="147"/>
        <v>4000.7547999999997</v>
      </c>
    </row>
    <row r="314" spans="1:26" s="10" customFormat="1" x14ac:dyDescent="0.25">
      <c r="A314" s="32">
        <v>180</v>
      </c>
      <c r="B314" s="48">
        <v>1585782450</v>
      </c>
      <c r="C314" s="180" t="s">
        <v>37</v>
      </c>
      <c r="D314" s="181" t="s">
        <v>189</v>
      </c>
      <c r="E314" s="162" t="s">
        <v>108</v>
      </c>
      <c r="F314" s="67">
        <v>16</v>
      </c>
      <c r="G314" s="100">
        <v>276.02999999999997</v>
      </c>
      <c r="H314" s="68">
        <f t="shared" si="148"/>
        <v>4416.4799999999996</v>
      </c>
      <c r="I314" s="68">
        <v>400</v>
      </c>
      <c r="J314" s="68"/>
      <c r="K314" s="68">
        <f>VLOOKUP($H$314,Tabisr,1)</f>
        <v>4244.01</v>
      </c>
      <c r="L314" s="70">
        <f t="shared" si="149"/>
        <v>172.46999999999935</v>
      </c>
      <c r="M314" s="71">
        <f>VLOOKUP($H$314,Tabisr,4)</f>
        <v>0.1792</v>
      </c>
      <c r="N314" s="68">
        <f t="shared" si="151"/>
        <v>122.4751999999999</v>
      </c>
      <c r="O314" s="76">
        <v>293.25</v>
      </c>
      <c r="P314" s="68">
        <f t="shared" si="150"/>
        <v>415.72519999999992</v>
      </c>
      <c r="Q314" s="68">
        <f>VLOOKUP($H$314,Tabsub,3)</f>
        <v>0</v>
      </c>
      <c r="R314" s="68"/>
      <c r="S314" s="68"/>
      <c r="T314" s="68"/>
      <c r="U314" s="68"/>
      <c r="V314" s="72">
        <f t="shared" si="144"/>
        <v>4400.7547999999997</v>
      </c>
      <c r="W314" s="72">
        <f t="shared" si="145"/>
        <v>4000.7547999999997</v>
      </c>
      <c r="Y314" s="14">
        <f t="shared" si="146"/>
        <v>4400.7547999999997</v>
      </c>
      <c r="Z314" s="14">
        <f t="shared" si="147"/>
        <v>4000.7547999999997</v>
      </c>
    </row>
    <row r="315" spans="1:26" x14ac:dyDescent="0.25">
      <c r="A315" s="33">
        <v>181</v>
      </c>
      <c r="B315" s="48">
        <v>1586243617</v>
      </c>
      <c r="C315" s="186" t="s">
        <v>12</v>
      </c>
      <c r="D315" s="187" t="s">
        <v>189</v>
      </c>
      <c r="E315" s="162" t="s">
        <v>109</v>
      </c>
      <c r="F315" s="67">
        <v>16</v>
      </c>
      <c r="G315" s="100">
        <v>276.02999999999997</v>
      </c>
      <c r="H315" s="68">
        <f t="shared" si="148"/>
        <v>4416.4799999999996</v>
      </c>
      <c r="I315" s="68">
        <v>400</v>
      </c>
      <c r="J315" s="68"/>
      <c r="K315" s="68">
        <f>VLOOKUP($H$315,Tabisr,1)</f>
        <v>4244.01</v>
      </c>
      <c r="L315" s="70">
        <f t="shared" si="149"/>
        <v>172.46999999999935</v>
      </c>
      <c r="M315" s="71">
        <f>VLOOKUP($H$315,Tabisr,4)</f>
        <v>0.1792</v>
      </c>
      <c r="N315" s="68">
        <f t="shared" si="151"/>
        <v>122.4751999999999</v>
      </c>
      <c r="O315" s="76">
        <v>293.25</v>
      </c>
      <c r="P315" s="68">
        <f t="shared" si="150"/>
        <v>415.72519999999992</v>
      </c>
      <c r="Q315" s="68">
        <f>VLOOKUP($H$315,Tabsub,3)</f>
        <v>0</v>
      </c>
      <c r="R315" s="68">
        <v>710</v>
      </c>
      <c r="S315" s="68"/>
      <c r="T315" s="68"/>
      <c r="U315" s="68"/>
      <c r="V315" s="72">
        <f t="shared" si="144"/>
        <v>3690.7547999999997</v>
      </c>
      <c r="W315" s="72">
        <f t="shared" si="145"/>
        <v>3290.7547999999997</v>
      </c>
      <c r="Y315" s="14">
        <f t="shared" si="146"/>
        <v>3690.7547999999997</v>
      </c>
      <c r="Z315" s="14">
        <f t="shared" si="147"/>
        <v>3290.7547999999997</v>
      </c>
    </row>
    <row r="316" spans="1:26" x14ac:dyDescent="0.25">
      <c r="A316" s="32">
        <v>182</v>
      </c>
      <c r="B316" s="48">
        <v>1585782468</v>
      </c>
      <c r="C316" s="180" t="s">
        <v>38</v>
      </c>
      <c r="D316" s="181" t="s">
        <v>189</v>
      </c>
      <c r="E316" s="162" t="s">
        <v>110</v>
      </c>
      <c r="F316" s="67">
        <v>16</v>
      </c>
      <c r="G316" s="100">
        <v>276.02999999999997</v>
      </c>
      <c r="H316" s="68">
        <f t="shared" si="148"/>
        <v>4416.4799999999996</v>
      </c>
      <c r="I316" s="68">
        <v>400</v>
      </c>
      <c r="J316" s="68"/>
      <c r="K316" s="68">
        <f>VLOOKUP($H$316,Tabisr,1)</f>
        <v>4244.01</v>
      </c>
      <c r="L316" s="70">
        <f t="shared" si="149"/>
        <v>172.46999999999935</v>
      </c>
      <c r="M316" s="71">
        <f>VLOOKUP($H$316,Tabisr,4)</f>
        <v>0.1792</v>
      </c>
      <c r="N316" s="68">
        <f t="shared" si="151"/>
        <v>122.4751999999999</v>
      </c>
      <c r="O316" s="76">
        <v>293.25</v>
      </c>
      <c r="P316" s="68">
        <f t="shared" si="150"/>
        <v>415.72519999999992</v>
      </c>
      <c r="Q316" s="68">
        <f>VLOOKUP($H$316,Tabsub,3)</f>
        <v>0</v>
      </c>
      <c r="R316" s="68">
        <v>640</v>
      </c>
      <c r="S316" s="68"/>
      <c r="T316" s="68"/>
      <c r="U316" s="68"/>
      <c r="V316" s="72">
        <f t="shared" si="144"/>
        <v>3760.7547999999997</v>
      </c>
      <c r="W316" s="72">
        <f t="shared" si="145"/>
        <v>3360.7547999999997</v>
      </c>
      <c r="Y316" s="14">
        <f t="shared" si="146"/>
        <v>3760.7547999999997</v>
      </c>
      <c r="Z316" s="14">
        <f t="shared" si="147"/>
        <v>3360.7547999999997</v>
      </c>
    </row>
    <row r="317" spans="1:26" x14ac:dyDescent="0.25">
      <c r="A317" s="33">
        <v>183</v>
      </c>
      <c r="B317" s="48">
        <v>1585782476</v>
      </c>
      <c r="C317" s="171" t="s">
        <v>39</v>
      </c>
      <c r="D317" s="19" t="s">
        <v>189</v>
      </c>
      <c r="E317" s="19" t="s">
        <v>111</v>
      </c>
      <c r="F317" s="67">
        <v>16</v>
      </c>
      <c r="G317" s="76">
        <v>276.02999999999997</v>
      </c>
      <c r="H317" s="76">
        <f t="shared" si="148"/>
        <v>4416.4799999999996</v>
      </c>
      <c r="I317" s="76">
        <v>400</v>
      </c>
      <c r="J317" s="76"/>
      <c r="K317" s="76">
        <f>VLOOKUP($H$317,Tabisr,1)</f>
        <v>4244.01</v>
      </c>
      <c r="L317" s="72">
        <f t="shared" si="149"/>
        <v>172.46999999999935</v>
      </c>
      <c r="M317" s="77">
        <f>VLOOKUP($H$317,Tabisr,4)</f>
        <v>0.1792</v>
      </c>
      <c r="N317" s="76">
        <f t="shared" si="151"/>
        <v>122.4751999999999</v>
      </c>
      <c r="O317" s="76">
        <v>293.25</v>
      </c>
      <c r="P317" s="76">
        <f t="shared" si="150"/>
        <v>415.72519999999992</v>
      </c>
      <c r="Q317" s="76">
        <f>VLOOKUP($H$317,Tabsub,3)</f>
        <v>0</v>
      </c>
      <c r="R317" s="76"/>
      <c r="S317" s="76"/>
      <c r="T317" s="76"/>
      <c r="U317" s="76"/>
      <c r="V317" s="72">
        <f t="shared" si="144"/>
        <v>4400.7547999999997</v>
      </c>
      <c r="W317" s="72">
        <f t="shared" si="145"/>
        <v>4000.7547999999997</v>
      </c>
      <c r="Y317" s="14">
        <f t="shared" si="146"/>
        <v>4400.7547999999997</v>
      </c>
      <c r="Z317" s="14">
        <f t="shared" si="147"/>
        <v>4000.7547999999997</v>
      </c>
    </row>
    <row r="318" spans="1:26" x14ac:dyDescent="0.25">
      <c r="A318" s="32">
        <v>184</v>
      </c>
      <c r="B318" s="48">
        <v>1585782484</v>
      </c>
      <c r="C318" s="16" t="s">
        <v>15</v>
      </c>
      <c r="D318" s="19" t="s">
        <v>164</v>
      </c>
      <c r="E318" s="21" t="s">
        <v>84</v>
      </c>
      <c r="F318" s="67">
        <v>16</v>
      </c>
      <c r="G318" s="76">
        <v>370.77</v>
      </c>
      <c r="H318" s="76">
        <f>F318*G318</f>
        <v>5932.32</v>
      </c>
      <c r="I318" s="64">
        <v>400</v>
      </c>
      <c r="J318" s="64"/>
      <c r="K318" s="76">
        <v>5081.01</v>
      </c>
      <c r="L318" s="72">
        <f>+H318-K318</f>
        <v>851.30999999999949</v>
      </c>
      <c r="M318" s="77">
        <v>0.21360000000000001</v>
      </c>
      <c r="N318" s="76">
        <f>(H318-5081.01)*21.36%</f>
        <v>181.83981599999987</v>
      </c>
      <c r="O318" s="76">
        <v>538.20000000000005</v>
      </c>
      <c r="P318" s="76">
        <f t="shared" si="150"/>
        <v>720.03981599999997</v>
      </c>
      <c r="Q318" s="76"/>
      <c r="R318" s="64">
        <v>2170</v>
      </c>
      <c r="S318" s="64"/>
      <c r="T318" s="64"/>
      <c r="U318" s="64"/>
      <c r="V318" s="72">
        <f t="shared" si="144"/>
        <v>3442.2801839999993</v>
      </c>
      <c r="W318" s="72">
        <f t="shared" si="145"/>
        <v>3042.2801839999993</v>
      </c>
      <c r="Y318" s="14">
        <f t="shared" si="146"/>
        <v>3442.2801839999993</v>
      </c>
      <c r="Z318" s="14">
        <f t="shared" si="147"/>
        <v>3042.2801839999993</v>
      </c>
    </row>
    <row r="319" spans="1:26" x14ac:dyDescent="0.25">
      <c r="A319" s="33">
        <v>185</v>
      </c>
      <c r="B319" s="48">
        <v>1585782494</v>
      </c>
      <c r="C319" s="161" t="s">
        <v>5</v>
      </c>
      <c r="D319" s="162" t="s">
        <v>165</v>
      </c>
      <c r="E319" s="203" t="s">
        <v>85</v>
      </c>
      <c r="F319" s="67">
        <v>16</v>
      </c>
      <c r="G319" s="68">
        <v>296.54000000000002</v>
      </c>
      <c r="H319" s="68">
        <f>F319*G319</f>
        <v>4744.6400000000003</v>
      </c>
      <c r="I319" s="68">
        <v>400</v>
      </c>
      <c r="J319" s="33"/>
      <c r="K319" s="68">
        <f>VLOOKUP($H$308,Tabisr,1)</f>
        <v>4244.01</v>
      </c>
      <c r="L319" s="70">
        <f>+H319-K319</f>
        <v>500.63000000000011</v>
      </c>
      <c r="M319" s="71">
        <f>VLOOKUP($H$308,Tabisr,4)</f>
        <v>0.1792</v>
      </c>
      <c r="N319" s="68">
        <f>(H319-4244.01)*17.92%</f>
        <v>89.712896000000029</v>
      </c>
      <c r="O319" s="76">
        <v>388.05</v>
      </c>
      <c r="P319" s="68">
        <f>N319+O319</f>
        <v>477.76289600000007</v>
      </c>
      <c r="Q319" s="68"/>
      <c r="R319" s="120"/>
      <c r="S319" s="120"/>
      <c r="T319" s="120"/>
      <c r="U319" s="120"/>
      <c r="V319" s="72">
        <f t="shared" si="144"/>
        <v>4666.8771040000001</v>
      </c>
      <c r="W319" s="72">
        <f t="shared" si="145"/>
        <v>4266.8771040000001</v>
      </c>
      <c r="Y319" s="14">
        <f t="shared" si="146"/>
        <v>4666.8771040000001</v>
      </c>
      <c r="Z319" s="14">
        <f t="shared" si="147"/>
        <v>4266.8771040000001</v>
      </c>
    </row>
    <row r="320" spans="1:26" x14ac:dyDescent="0.25">
      <c r="A320" s="43"/>
      <c r="B320" s="58"/>
      <c r="C320" s="177"/>
      <c r="D320" s="182"/>
      <c r="E320" s="235"/>
      <c r="F320" s="46"/>
      <c r="G320" s="46"/>
      <c r="H320" s="119">
        <f>+SUM(H302:H319)</f>
        <v>79995.039999999964</v>
      </c>
      <c r="I320" s="119">
        <f t="shared" ref="I320:W320" si="152">+SUM(I302:I319)</f>
        <v>7200</v>
      </c>
      <c r="J320" s="119">
        <f t="shared" si="152"/>
        <v>0</v>
      </c>
      <c r="K320" s="119">
        <f t="shared" si="152"/>
        <v>73184.670000000013</v>
      </c>
      <c r="L320" s="119">
        <f t="shared" si="152"/>
        <v>6810.3699999999944</v>
      </c>
      <c r="M320" s="119">
        <f t="shared" si="152"/>
        <v>9.1431999999999984</v>
      </c>
      <c r="N320" s="119">
        <f t="shared" si="152"/>
        <v>1669.9954159999988</v>
      </c>
      <c r="O320" s="119">
        <f t="shared" si="152"/>
        <v>6037.6500000000005</v>
      </c>
      <c r="P320" s="119">
        <f t="shared" si="152"/>
        <v>7707.6454159999994</v>
      </c>
      <c r="Q320" s="119">
        <f t="shared" si="152"/>
        <v>125.1</v>
      </c>
      <c r="R320" s="119">
        <f t="shared" si="152"/>
        <v>9065</v>
      </c>
      <c r="S320" s="119">
        <f t="shared" si="152"/>
        <v>2262</v>
      </c>
      <c r="T320" s="119">
        <f t="shared" si="152"/>
        <v>0</v>
      </c>
      <c r="U320" s="119">
        <f t="shared" si="152"/>
        <v>0</v>
      </c>
      <c r="V320" s="119">
        <f t="shared" si="152"/>
        <v>68285.494584000015</v>
      </c>
      <c r="W320" s="119">
        <f t="shared" si="152"/>
        <v>61085.494584000015</v>
      </c>
      <c r="Y320" s="15">
        <f>+SUM(Y302:Y319)</f>
        <v>68285.494584000015</v>
      </c>
      <c r="Z320" s="15">
        <f>+SUM(Z302:Z319)</f>
        <v>61085.494584000015</v>
      </c>
    </row>
    <row r="321" spans="1:26" x14ac:dyDescent="0.25">
      <c r="A321" s="43"/>
      <c r="B321" s="58"/>
      <c r="C321" s="177"/>
      <c r="D321" s="182"/>
      <c r="E321" s="235"/>
      <c r="F321" s="46"/>
      <c r="G321" s="46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Y321" s="15"/>
      <c r="Z321" s="15"/>
    </row>
    <row r="322" spans="1:26" x14ac:dyDescent="0.25">
      <c r="A322" s="43"/>
      <c r="B322" s="58"/>
      <c r="C322" s="177"/>
      <c r="D322" s="182"/>
      <c r="E322" s="235"/>
      <c r="F322" s="46"/>
      <c r="G322" s="46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Y322" s="14"/>
      <c r="Z322" s="14"/>
    </row>
    <row r="323" spans="1:26" ht="18.75" x14ac:dyDescent="0.25">
      <c r="A323" s="277" t="s">
        <v>402</v>
      </c>
      <c r="B323" s="278"/>
      <c r="C323" s="278"/>
      <c r="D323" s="278"/>
      <c r="E323" s="278"/>
      <c r="F323" s="278"/>
      <c r="G323" s="278"/>
      <c r="H323" s="278"/>
      <c r="I323" s="278"/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8"/>
      <c r="V323" s="278"/>
      <c r="W323" s="279"/>
      <c r="Y323" s="14"/>
      <c r="Z323" s="14"/>
    </row>
    <row r="324" spans="1:26" ht="31.5" customHeight="1" x14ac:dyDescent="0.25">
      <c r="A324" s="41" t="s">
        <v>69</v>
      </c>
      <c r="B324" s="52" t="s">
        <v>588</v>
      </c>
      <c r="C324" s="31" t="s">
        <v>17</v>
      </c>
      <c r="D324" s="31" t="s">
        <v>161</v>
      </c>
      <c r="E324" s="31" t="s">
        <v>143</v>
      </c>
      <c r="F324" s="31" t="s">
        <v>27</v>
      </c>
      <c r="G324" s="31" t="s">
        <v>19</v>
      </c>
      <c r="H324" s="31" t="s">
        <v>18</v>
      </c>
      <c r="I324" s="31" t="s">
        <v>66</v>
      </c>
      <c r="J324" s="31" t="s">
        <v>74</v>
      </c>
      <c r="K324" s="50" t="s">
        <v>301</v>
      </c>
      <c r="L324" s="50" t="s">
        <v>302</v>
      </c>
      <c r="M324" s="50" t="s">
        <v>303</v>
      </c>
      <c r="N324" s="50" t="s">
        <v>304</v>
      </c>
      <c r="O324" s="31" t="s">
        <v>305</v>
      </c>
      <c r="P324" s="31" t="s">
        <v>67</v>
      </c>
      <c r="Q324" s="31" t="s">
        <v>68</v>
      </c>
      <c r="R324" s="31" t="s">
        <v>20</v>
      </c>
      <c r="S324" s="31" t="s">
        <v>452</v>
      </c>
      <c r="T324" s="31" t="s">
        <v>72</v>
      </c>
      <c r="U324" s="31" t="s">
        <v>157</v>
      </c>
      <c r="V324" s="31" t="s">
        <v>155</v>
      </c>
      <c r="W324" s="31" t="s">
        <v>156</v>
      </c>
      <c r="Y324" s="14"/>
      <c r="Z324" s="14"/>
    </row>
    <row r="325" spans="1:26" x14ac:dyDescent="0.25">
      <c r="A325" s="32">
        <v>186</v>
      </c>
      <c r="B325" s="48">
        <v>1585782506</v>
      </c>
      <c r="C325" s="16" t="s">
        <v>25</v>
      </c>
      <c r="D325" s="16" t="s">
        <v>254</v>
      </c>
      <c r="E325" s="21" t="s">
        <v>91</v>
      </c>
      <c r="F325" s="67">
        <v>16</v>
      </c>
      <c r="G325" s="76">
        <v>296.54000000000002</v>
      </c>
      <c r="H325" s="76">
        <f>F325*G325</f>
        <v>4744.6400000000003</v>
      </c>
      <c r="I325" s="76">
        <v>400</v>
      </c>
      <c r="J325" s="76"/>
      <c r="K325" s="76">
        <f>VLOOKUP($H$283,Tabisr,1)</f>
        <v>5081.01</v>
      </c>
      <c r="L325" s="72">
        <f>+H325-K325</f>
        <v>-336.36999999999989</v>
      </c>
      <c r="M325" s="77">
        <f>VLOOKUP($H$283,Tabisr,4)</f>
        <v>0.21360000000000001</v>
      </c>
      <c r="N325" s="76">
        <f>(H325-4244.01)*17.92%</f>
        <v>89.712896000000029</v>
      </c>
      <c r="O325" s="76">
        <v>388.05</v>
      </c>
      <c r="P325" s="76">
        <f>N325+O325</f>
        <v>477.76289600000007</v>
      </c>
      <c r="Q325" s="76">
        <f>VLOOKUP($H$283,Tabsub,3)</f>
        <v>0</v>
      </c>
      <c r="R325" s="76"/>
      <c r="S325" s="76">
        <v>1062</v>
      </c>
      <c r="T325" s="76"/>
      <c r="U325" s="76"/>
      <c r="V325" s="72">
        <f t="shared" ref="V325:V330" si="153">H325+I325+J325-P325+Q325-R325-S325-T325-U325</f>
        <v>3604.8771040000001</v>
      </c>
      <c r="W325" s="72">
        <f t="shared" ref="W325:W330" si="154">V325-I325</f>
        <v>3204.8771040000001</v>
      </c>
      <c r="Y325" s="14">
        <f t="shared" ref="Y325:Y330" si="155">+H325+I325+J325+Q325-P325-R325-S325-T325-U325</f>
        <v>3604.8771040000001</v>
      </c>
      <c r="Z325" s="14">
        <f t="shared" ref="Z325:Z330" si="156">+V325-I325</f>
        <v>3204.8771040000001</v>
      </c>
    </row>
    <row r="326" spans="1:26" x14ac:dyDescent="0.25">
      <c r="A326" s="44">
        <v>187</v>
      </c>
      <c r="B326" s="61"/>
      <c r="C326" s="183" t="s">
        <v>448</v>
      </c>
      <c r="D326" s="188" t="s">
        <v>169</v>
      </c>
      <c r="E326" s="205"/>
      <c r="F326" s="121"/>
      <c r="G326" s="125"/>
      <c r="H326" s="122"/>
      <c r="I326" s="122"/>
      <c r="J326" s="126"/>
      <c r="K326" s="127"/>
      <c r="L326" s="127"/>
      <c r="M326" s="127"/>
      <c r="N326" s="122">
        <f>(H326-3651.01)*16%</f>
        <v>-584.16160000000002</v>
      </c>
      <c r="O326" s="122">
        <v>293.25</v>
      </c>
      <c r="P326" s="122"/>
      <c r="Q326" s="126"/>
      <c r="R326" s="126"/>
      <c r="S326" s="126"/>
      <c r="T326" s="126"/>
      <c r="U326" s="126"/>
      <c r="V326" s="123">
        <f t="shared" si="153"/>
        <v>0</v>
      </c>
      <c r="W326" s="123">
        <f t="shared" si="154"/>
        <v>0</v>
      </c>
      <c r="Y326" s="14">
        <f t="shared" si="155"/>
        <v>0</v>
      </c>
      <c r="Z326" s="14">
        <f t="shared" si="156"/>
        <v>0</v>
      </c>
    </row>
    <row r="327" spans="1:26" x14ac:dyDescent="0.25">
      <c r="A327" s="32">
        <v>188</v>
      </c>
      <c r="B327" s="48">
        <v>1585782514</v>
      </c>
      <c r="C327" s="16" t="s">
        <v>76</v>
      </c>
      <c r="D327" s="19" t="s">
        <v>183</v>
      </c>
      <c r="E327" s="21" t="s">
        <v>149</v>
      </c>
      <c r="F327" s="67">
        <v>16</v>
      </c>
      <c r="G327" s="91">
        <v>203.32</v>
      </c>
      <c r="H327" s="76">
        <f>F327*G327</f>
        <v>3253.12</v>
      </c>
      <c r="I327" s="76">
        <v>400</v>
      </c>
      <c r="J327" s="128"/>
      <c r="K327" s="128"/>
      <c r="L327" s="128"/>
      <c r="M327" s="128"/>
      <c r="N327" s="68">
        <f>(H327-2077.51)*10.88%</f>
        <v>127.90636799999997</v>
      </c>
      <c r="O327" s="76">
        <v>121.95</v>
      </c>
      <c r="P327" s="68">
        <f>N327+O327</f>
        <v>249.85636799999997</v>
      </c>
      <c r="Q327" s="128"/>
      <c r="R327" s="128"/>
      <c r="S327" s="128">
        <v>397</v>
      </c>
      <c r="T327" s="128"/>
      <c r="U327" s="128"/>
      <c r="V327" s="72">
        <f t="shared" si="153"/>
        <v>3006.2636320000001</v>
      </c>
      <c r="W327" s="70">
        <f t="shared" si="154"/>
        <v>2606.2636320000001</v>
      </c>
      <c r="Y327" s="14">
        <f t="shared" si="155"/>
        <v>3006.2636320000001</v>
      </c>
      <c r="Z327" s="14">
        <f t="shared" si="156"/>
        <v>2606.2636320000001</v>
      </c>
    </row>
    <row r="328" spans="1:26" x14ac:dyDescent="0.25">
      <c r="A328" s="32">
        <v>189</v>
      </c>
      <c r="B328" s="48">
        <v>1586243595</v>
      </c>
      <c r="C328" s="16" t="s">
        <v>469</v>
      </c>
      <c r="D328" s="19" t="s">
        <v>183</v>
      </c>
      <c r="E328" s="21" t="s">
        <v>470</v>
      </c>
      <c r="F328" s="67">
        <v>16</v>
      </c>
      <c r="G328" s="91">
        <v>203.32</v>
      </c>
      <c r="H328" s="76">
        <f>F328*G328</f>
        <v>3253.12</v>
      </c>
      <c r="I328" s="76">
        <v>400</v>
      </c>
      <c r="J328" s="128"/>
      <c r="K328" s="128"/>
      <c r="L328" s="128"/>
      <c r="M328" s="128"/>
      <c r="N328" s="68">
        <f>(H328-2077.51)*10.88%</f>
        <v>127.90636799999997</v>
      </c>
      <c r="O328" s="76">
        <v>121.95</v>
      </c>
      <c r="P328" s="68">
        <f>N328+O328</f>
        <v>249.85636799999997</v>
      </c>
      <c r="Q328" s="128"/>
      <c r="R328" s="32">
        <v>750</v>
      </c>
      <c r="S328" s="128">
        <v>1062</v>
      </c>
      <c r="T328" s="128"/>
      <c r="U328" s="128"/>
      <c r="V328" s="72">
        <f t="shared" si="153"/>
        <v>1591.2636320000001</v>
      </c>
      <c r="W328" s="70">
        <f t="shared" si="154"/>
        <v>1191.2636320000001</v>
      </c>
      <c r="Y328" s="14">
        <f t="shared" si="155"/>
        <v>1591.2636320000001</v>
      </c>
      <c r="Z328" s="14">
        <f t="shared" si="156"/>
        <v>1191.2636320000001</v>
      </c>
    </row>
    <row r="329" spans="1:26" s="24" customFormat="1" x14ac:dyDescent="0.25">
      <c r="A329" s="32">
        <v>190</v>
      </c>
      <c r="B329" s="48">
        <v>1585782524</v>
      </c>
      <c r="C329" s="16" t="s">
        <v>592</v>
      </c>
      <c r="D329" s="19" t="s">
        <v>183</v>
      </c>
      <c r="E329" s="21" t="s">
        <v>608</v>
      </c>
      <c r="F329" s="67">
        <v>16</v>
      </c>
      <c r="G329" s="91">
        <v>203.32</v>
      </c>
      <c r="H329" s="76">
        <f>F329*G329</f>
        <v>3253.12</v>
      </c>
      <c r="I329" s="76">
        <v>400</v>
      </c>
      <c r="J329" s="128"/>
      <c r="K329" s="128"/>
      <c r="L329" s="128"/>
      <c r="M329" s="128"/>
      <c r="N329" s="76">
        <f>(H329-2077.51)*10.88%</f>
        <v>127.90636799999997</v>
      </c>
      <c r="O329" s="76">
        <v>121.95</v>
      </c>
      <c r="P329" s="76">
        <f>N329+O329</f>
        <v>249.85636799999997</v>
      </c>
      <c r="Q329" s="128"/>
      <c r="R329" s="32"/>
      <c r="S329" s="128"/>
      <c r="T329" s="128"/>
      <c r="U329" s="128"/>
      <c r="V329" s="72">
        <f t="shared" si="153"/>
        <v>3403.2636320000001</v>
      </c>
      <c r="W329" s="72">
        <f t="shared" si="154"/>
        <v>3003.2636320000001</v>
      </c>
      <c r="Y329" s="25">
        <f t="shared" si="155"/>
        <v>3403.2636320000001</v>
      </c>
      <c r="Z329" s="25">
        <f t="shared" si="156"/>
        <v>3003.2636320000001</v>
      </c>
    </row>
    <row r="330" spans="1:26" x14ac:dyDescent="0.2">
      <c r="A330" s="32">
        <v>191</v>
      </c>
      <c r="B330" s="48">
        <v>1585782531</v>
      </c>
      <c r="C330" s="190" t="s">
        <v>437</v>
      </c>
      <c r="D330" s="19" t="s">
        <v>637</v>
      </c>
      <c r="E330" s="206" t="s">
        <v>438</v>
      </c>
      <c r="F330" s="67">
        <v>16</v>
      </c>
      <c r="G330" s="91">
        <v>393.95</v>
      </c>
      <c r="H330" s="76">
        <f>F330*G330</f>
        <v>6303.2</v>
      </c>
      <c r="I330" s="76">
        <v>400</v>
      </c>
      <c r="J330" s="128"/>
      <c r="K330" s="128"/>
      <c r="L330" s="128"/>
      <c r="M330" s="128"/>
      <c r="N330" s="76">
        <f>(H330-2077.51)*10.88%</f>
        <v>459.75507199999998</v>
      </c>
      <c r="O330" s="76">
        <v>121.95</v>
      </c>
      <c r="P330" s="76">
        <f>N330+O330</f>
        <v>581.70507199999997</v>
      </c>
      <c r="Q330" s="128"/>
      <c r="R330" s="32">
        <v>725</v>
      </c>
      <c r="S330" s="128"/>
      <c r="T330" s="128"/>
      <c r="U330" s="128"/>
      <c r="V330" s="72">
        <f t="shared" si="153"/>
        <v>5396.4949280000001</v>
      </c>
      <c r="W330" s="72">
        <f t="shared" si="154"/>
        <v>4996.4949280000001</v>
      </c>
      <c r="Y330" s="14">
        <f t="shared" si="155"/>
        <v>5396.4949280000001</v>
      </c>
      <c r="Z330" s="14">
        <f t="shared" si="156"/>
        <v>4996.4949280000001</v>
      </c>
    </row>
    <row r="331" spans="1:26" x14ac:dyDescent="0.25">
      <c r="A331" s="43"/>
      <c r="B331" s="58"/>
      <c r="C331" s="169"/>
      <c r="D331" s="170"/>
      <c r="E331" s="234"/>
      <c r="F331" s="88"/>
      <c r="G331" s="88"/>
      <c r="H331" s="89">
        <f>+SUM(H325:H330)</f>
        <v>20807.2</v>
      </c>
      <c r="I331" s="89">
        <f>+SUM(I325:I330)</f>
        <v>2000</v>
      </c>
      <c r="J331" s="89">
        <f t="shared" ref="J331:W331" si="157">+SUM(J325:J330)</f>
        <v>0</v>
      </c>
      <c r="K331" s="89">
        <f t="shared" si="157"/>
        <v>5081.01</v>
      </c>
      <c r="L331" s="89">
        <f t="shared" si="157"/>
        <v>-336.36999999999989</v>
      </c>
      <c r="M331" s="89">
        <f t="shared" si="157"/>
        <v>0.21360000000000001</v>
      </c>
      <c r="N331" s="89">
        <f t="shared" si="157"/>
        <v>349.02547199999992</v>
      </c>
      <c r="O331" s="89">
        <f t="shared" si="157"/>
        <v>1169.1000000000001</v>
      </c>
      <c r="P331" s="89">
        <f t="shared" si="157"/>
        <v>1809.0370719999999</v>
      </c>
      <c r="Q331" s="89">
        <f t="shared" si="157"/>
        <v>0</v>
      </c>
      <c r="R331" s="89">
        <f t="shared" si="157"/>
        <v>1475</v>
      </c>
      <c r="S331" s="89">
        <f t="shared" si="157"/>
        <v>2521</v>
      </c>
      <c r="T331" s="89">
        <f t="shared" si="157"/>
        <v>0</v>
      </c>
      <c r="U331" s="89">
        <f t="shared" si="157"/>
        <v>0</v>
      </c>
      <c r="V331" s="89">
        <f t="shared" si="157"/>
        <v>17002.162927999998</v>
      </c>
      <c r="W331" s="89">
        <f t="shared" si="157"/>
        <v>15002.162928000002</v>
      </c>
      <c r="Y331" s="15">
        <f>+SUM(Y325:Y330)</f>
        <v>17002.162927999998</v>
      </c>
      <c r="Z331" s="15">
        <f>+SUM(Z325:Z330)</f>
        <v>15002.162928000002</v>
      </c>
    </row>
    <row r="332" spans="1:26" x14ac:dyDescent="0.25">
      <c r="A332" s="43"/>
      <c r="B332" s="58"/>
      <c r="C332" s="169"/>
      <c r="D332" s="170"/>
      <c r="E332" s="234"/>
      <c r="F332" s="88"/>
      <c r="G332" s="88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Y332" s="15"/>
      <c r="Z332" s="15"/>
    </row>
    <row r="333" spans="1:26" x14ac:dyDescent="0.25">
      <c r="A333" s="43"/>
      <c r="B333" s="58"/>
      <c r="C333" s="169"/>
      <c r="D333" s="170"/>
      <c r="E333" s="234"/>
      <c r="F333" s="88"/>
      <c r="G333" s="88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Y333" s="15"/>
      <c r="Z333" s="15"/>
    </row>
    <row r="334" spans="1:26" ht="18.75" x14ac:dyDescent="0.25">
      <c r="A334" s="277" t="s">
        <v>403</v>
      </c>
      <c r="B334" s="278"/>
      <c r="C334" s="278"/>
      <c r="D334" s="278"/>
      <c r="E334" s="278"/>
      <c r="F334" s="278"/>
      <c r="G334" s="278"/>
      <c r="H334" s="278"/>
      <c r="I334" s="278"/>
      <c r="J334" s="278"/>
      <c r="K334" s="278"/>
      <c r="L334" s="278"/>
      <c r="M334" s="278"/>
      <c r="N334" s="278"/>
      <c r="O334" s="278"/>
      <c r="P334" s="278"/>
      <c r="Q334" s="278"/>
      <c r="R334" s="278"/>
      <c r="S334" s="278"/>
      <c r="T334" s="278"/>
      <c r="U334" s="278"/>
      <c r="V334" s="278"/>
      <c r="W334" s="279"/>
      <c r="Y334" s="14"/>
      <c r="Z334" s="14"/>
    </row>
    <row r="335" spans="1:26" ht="36" customHeight="1" x14ac:dyDescent="0.25">
      <c r="A335" s="41" t="s">
        <v>69</v>
      </c>
      <c r="B335" s="52" t="s">
        <v>588</v>
      </c>
      <c r="C335" s="31" t="s">
        <v>17</v>
      </c>
      <c r="D335" s="31" t="s">
        <v>161</v>
      </c>
      <c r="E335" s="31" t="s">
        <v>143</v>
      </c>
      <c r="F335" s="31" t="s">
        <v>27</v>
      </c>
      <c r="G335" s="31" t="s">
        <v>19</v>
      </c>
      <c r="H335" s="31" t="s">
        <v>18</v>
      </c>
      <c r="I335" s="31" t="s">
        <v>66</v>
      </c>
      <c r="J335" s="31" t="s">
        <v>74</v>
      </c>
      <c r="K335" s="50" t="s">
        <v>301</v>
      </c>
      <c r="L335" s="50" t="s">
        <v>302</v>
      </c>
      <c r="M335" s="50" t="s">
        <v>303</v>
      </c>
      <c r="N335" s="50" t="s">
        <v>304</v>
      </c>
      <c r="O335" s="31" t="s">
        <v>305</v>
      </c>
      <c r="P335" s="31" t="s">
        <v>67</v>
      </c>
      <c r="Q335" s="31" t="s">
        <v>68</v>
      </c>
      <c r="R335" s="31" t="s">
        <v>20</v>
      </c>
      <c r="S335" s="31" t="s">
        <v>452</v>
      </c>
      <c r="T335" s="31" t="s">
        <v>72</v>
      </c>
      <c r="U335" s="31" t="s">
        <v>157</v>
      </c>
      <c r="V335" s="31" t="s">
        <v>155</v>
      </c>
      <c r="W335" s="31" t="s">
        <v>156</v>
      </c>
      <c r="Y335" s="14"/>
      <c r="Z335" s="14"/>
    </row>
    <row r="336" spans="1:26" s="10" customFormat="1" x14ac:dyDescent="0.25">
      <c r="A336" s="32">
        <v>192</v>
      </c>
      <c r="B336" s="48">
        <v>1585782549</v>
      </c>
      <c r="C336" s="16" t="s">
        <v>440</v>
      </c>
      <c r="D336" s="16" t="s">
        <v>254</v>
      </c>
      <c r="E336" s="21" t="s">
        <v>249</v>
      </c>
      <c r="F336" s="67">
        <v>16</v>
      </c>
      <c r="G336" s="91">
        <v>296.54000000000002</v>
      </c>
      <c r="H336" s="76">
        <f>F336*G336</f>
        <v>4744.6400000000003</v>
      </c>
      <c r="I336" s="76">
        <v>400</v>
      </c>
      <c r="J336" s="32"/>
      <c r="K336" s="76">
        <f>VLOOKUP($H$336,Tabisr,1)</f>
        <v>4244.01</v>
      </c>
      <c r="L336" s="72">
        <f>+H336-K336</f>
        <v>500.63000000000011</v>
      </c>
      <c r="M336" s="77">
        <f>VLOOKUP($H$336,Tabisr,4)</f>
        <v>0.1792</v>
      </c>
      <c r="N336" s="76">
        <f>(H336-4244.01)*17.92%</f>
        <v>89.712896000000029</v>
      </c>
      <c r="O336" s="76">
        <v>388.05</v>
      </c>
      <c r="P336" s="76">
        <f>N336+O336</f>
        <v>477.76289600000007</v>
      </c>
      <c r="Q336" s="76">
        <f>VLOOKUP($H$336,Tabsub,3)</f>
        <v>0</v>
      </c>
      <c r="R336" s="76"/>
      <c r="S336" s="76"/>
      <c r="T336" s="76"/>
      <c r="U336" s="76"/>
      <c r="V336" s="72">
        <f>H336+I336+J336-P336+Q336-R336-S336-T336-U336</f>
        <v>4666.8771040000001</v>
      </c>
      <c r="W336" s="72">
        <f>V336-I336</f>
        <v>4266.8771040000001</v>
      </c>
      <c r="Y336" s="14">
        <f>+H336+I336+J336+Q336-P336-R336-S336-T336-U336</f>
        <v>4666.8771040000001</v>
      </c>
      <c r="Z336" s="14">
        <f>+V336-I336</f>
        <v>4266.8771040000001</v>
      </c>
    </row>
    <row r="337" spans="1:26" s="12" customFormat="1" x14ac:dyDescent="0.25">
      <c r="A337" s="32">
        <v>193</v>
      </c>
      <c r="B337" s="48">
        <v>1585782557</v>
      </c>
      <c r="C337" s="16" t="s">
        <v>595</v>
      </c>
      <c r="D337" s="16" t="s">
        <v>183</v>
      </c>
      <c r="E337" s="21" t="s">
        <v>601</v>
      </c>
      <c r="F337" s="67">
        <v>16</v>
      </c>
      <c r="G337" s="91">
        <v>203.32</v>
      </c>
      <c r="H337" s="76">
        <f>F337*G337</f>
        <v>3253.12</v>
      </c>
      <c r="I337" s="76">
        <v>400</v>
      </c>
      <c r="J337" s="128"/>
      <c r="K337" s="128"/>
      <c r="L337" s="128"/>
      <c r="M337" s="128"/>
      <c r="N337" s="76">
        <f>(H337-2077.51)*10.88%</f>
        <v>127.90636799999997</v>
      </c>
      <c r="O337" s="76">
        <v>121.95</v>
      </c>
      <c r="P337" s="76">
        <f>N337+O337</f>
        <v>249.85636799999997</v>
      </c>
      <c r="Q337" s="128"/>
      <c r="R337" s="32"/>
      <c r="S337" s="128"/>
      <c r="T337" s="128"/>
      <c r="U337" s="128"/>
      <c r="V337" s="72">
        <f>H337+I337+J337-P337+Q337-R337-S337-T337-U337</f>
        <v>3403.2636320000001</v>
      </c>
      <c r="W337" s="72">
        <f>V337-I337</f>
        <v>3003.2636320000001</v>
      </c>
      <c r="Y337" s="25">
        <f>+H337+I337+J337+Q337-P337-R337-S337-T337-U337</f>
        <v>3403.2636320000001</v>
      </c>
      <c r="Z337" s="25">
        <f>+V337-I337</f>
        <v>3003.2636320000001</v>
      </c>
    </row>
    <row r="338" spans="1:26" s="10" customFormat="1" x14ac:dyDescent="0.25">
      <c r="A338" s="32">
        <v>194</v>
      </c>
      <c r="B338" s="48">
        <v>1585782565</v>
      </c>
      <c r="C338" s="16" t="s">
        <v>510</v>
      </c>
      <c r="D338" s="16" t="s">
        <v>163</v>
      </c>
      <c r="E338" s="21" t="s">
        <v>511</v>
      </c>
      <c r="F338" s="67">
        <v>16</v>
      </c>
      <c r="G338" s="91">
        <v>250.29</v>
      </c>
      <c r="H338" s="76">
        <f>F338*G338</f>
        <v>4004.64</v>
      </c>
      <c r="I338" s="76">
        <v>400</v>
      </c>
      <c r="J338" s="32"/>
      <c r="K338" s="76"/>
      <c r="L338" s="72"/>
      <c r="M338" s="77"/>
      <c r="N338" s="76">
        <f>(H338-3651.01)*16%</f>
        <v>56.580799999999947</v>
      </c>
      <c r="O338" s="76">
        <v>293.25</v>
      </c>
      <c r="P338" s="76">
        <f>N338+O338</f>
        <v>349.83079999999995</v>
      </c>
      <c r="Q338" s="76"/>
      <c r="R338" s="76"/>
      <c r="S338" s="76"/>
      <c r="T338" s="76"/>
      <c r="U338" s="76"/>
      <c r="V338" s="72">
        <f>H338+I338+J338-P338+Q338-R338-S338-T338-U338</f>
        <v>4054.8091999999997</v>
      </c>
      <c r="W338" s="72">
        <f>V338-I338</f>
        <v>3654.8091999999997</v>
      </c>
      <c r="Y338" s="14">
        <f>+H338+I338+J338+Q338-P338-R338-S338-T338-U338</f>
        <v>4054.8091999999997</v>
      </c>
      <c r="Z338" s="14">
        <f>+V338-I338</f>
        <v>3654.8091999999997</v>
      </c>
    </row>
    <row r="339" spans="1:26" s="10" customFormat="1" x14ac:dyDescent="0.25">
      <c r="A339" s="42"/>
      <c r="B339" s="57"/>
      <c r="C339" s="163"/>
      <c r="D339" s="27"/>
      <c r="E339" s="233"/>
      <c r="F339" s="73"/>
      <c r="G339" s="129"/>
      <c r="H339" s="80">
        <f>+SUM(H336:H338)</f>
        <v>12002.4</v>
      </c>
      <c r="I339" s="80">
        <f t="shared" ref="I339:W339" si="158">+SUM(I336:I338)</f>
        <v>1200</v>
      </c>
      <c r="J339" s="80">
        <f t="shared" si="158"/>
        <v>0</v>
      </c>
      <c r="K339" s="80">
        <f t="shared" si="158"/>
        <v>4244.01</v>
      </c>
      <c r="L339" s="80">
        <f t="shared" si="158"/>
        <v>500.63000000000011</v>
      </c>
      <c r="M339" s="80">
        <f t="shared" si="158"/>
        <v>0.1792</v>
      </c>
      <c r="N339" s="80">
        <f t="shared" si="158"/>
        <v>274.20006399999994</v>
      </c>
      <c r="O339" s="80">
        <f t="shared" si="158"/>
        <v>803.25</v>
      </c>
      <c r="P339" s="80">
        <f t="shared" si="158"/>
        <v>1077.4500640000001</v>
      </c>
      <c r="Q339" s="80">
        <f t="shared" si="158"/>
        <v>0</v>
      </c>
      <c r="R339" s="80">
        <f t="shared" si="158"/>
        <v>0</v>
      </c>
      <c r="S339" s="80">
        <f t="shared" si="158"/>
        <v>0</v>
      </c>
      <c r="T339" s="80">
        <f t="shared" si="158"/>
        <v>0</v>
      </c>
      <c r="U339" s="80">
        <f t="shared" si="158"/>
        <v>0</v>
      </c>
      <c r="V339" s="80">
        <f t="shared" si="158"/>
        <v>12124.949936000001</v>
      </c>
      <c r="W339" s="80">
        <f t="shared" si="158"/>
        <v>10924.949936000001</v>
      </c>
      <c r="Y339" s="15">
        <f>+SUM(Y336:Y338)</f>
        <v>12124.949936000001</v>
      </c>
      <c r="Z339" s="15">
        <f>+SUM(Z336:Z338)</f>
        <v>10924.949936000001</v>
      </c>
    </row>
    <row r="340" spans="1:26" s="10" customFormat="1" x14ac:dyDescent="0.25">
      <c r="A340" s="42"/>
      <c r="B340" s="57"/>
      <c r="C340" s="163"/>
      <c r="D340" s="27"/>
      <c r="E340" s="233"/>
      <c r="F340" s="73"/>
      <c r="G340" s="129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75"/>
      <c r="W340" s="75"/>
      <c r="Y340" s="14"/>
      <c r="Z340" s="14"/>
    </row>
    <row r="341" spans="1:26" ht="18.75" x14ac:dyDescent="0.25">
      <c r="A341" s="277" t="s">
        <v>404</v>
      </c>
      <c r="B341" s="278"/>
      <c r="C341" s="278"/>
      <c r="D341" s="278"/>
      <c r="E341" s="278"/>
      <c r="F341" s="278"/>
      <c r="G341" s="278"/>
      <c r="H341" s="278"/>
      <c r="I341" s="278"/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278"/>
      <c r="W341" s="279"/>
      <c r="Y341" s="14"/>
      <c r="Z341" s="14"/>
    </row>
    <row r="342" spans="1:26" ht="35.25" customHeight="1" x14ac:dyDescent="0.25">
      <c r="A342" s="31" t="s">
        <v>69</v>
      </c>
      <c r="B342" s="52" t="s">
        <v>588</v>
      </c>
      <c r="C342" s="31" t="s">
        <v>17</v>
      </c>
      <c r="D342" s="31" t="s">
        <v>161</v>
      </c>
      <c r="E342" s="31" t="s">
        <v>143</v>
      </c>
      <c r="F342" s="31" t="s">
        <v>27</v>
      </c>
      <c r="G342" s="31" t="s">
        <v>19</v>
      </c>
      <c r="H342" s="31" t="s">
        <v>18</v>
      </c>
      <c r="I342" s="31" t="s">
        <v>66</v>
      </c>
      <c r="J342" s="31" t="s">
        <v>74</v>
      </c>
      <c r="K342" s="50" t="s">
        <v>301</v>
      </c>
      <c r="L342" s="50" t="s">
        <v>302</v>
      </c>
      <c r="M342" s="50" t="s">
        <v>303</v>
      </c>
      <c r="N342" s="50" t="s">
        <v>304</v>
      </c>
      <c r="O342" s="31" t="s">
        <v>305</v>
      </c>
      <c r="P342" s="31" t="s">
        <v>67</v>
      </c>
      <c r="Q342" s="31" t="s">
        <v>68</v>
      </c>
      <c r="R342" s="31" t="s">
        <v>20</v>
      </c>
      <c r="S342" s="31" t="s">
        <v>452</v>
      </c>
      <c r="T342" s="31" t="s">
        <v>72</v>
      </c>
      <c r="U342" s="31" t="s">
        <v>157</v>
      </c>
      <c r="V342" s="31" t="s">
        <v>155</v>
      </c>
      <c r="W342" s="31" t="s">
        <v>156</v>
      </c>
      <c r="Y342" s="14"/>
      <c r="Z342" s="14"/>
    </row>
    <row r="343" spans="1:26" x14ac:dyDescent="0.25">
      <c r="A343" s="32">
        <v>195</v>
      </c>
      <c r="B343" s="48">
        <v>1585782573</v>
      </c>
      <c r="C343" s="16" t="s">
        <v>329</v>
      </c>
      <c r="D343" s="16" t="s">
        <v>254</v>
      </c>
      <c r="E343" s="21" t="s">
        <v>330</v>
      </c>
      <c r="F343" s="67">
        <v>16</v>
      </c>
      <c r="G343" s="91">
        <v>296.54000000000002</v>
      </c>
      <c r="H343" s="76">
        <f>F343*G343</f>
        <v>4744.6400000000003</v>
      </c>
      <c r="I343" s="76">
        <v>400</v>
      </c>
      <c r="J343" s="32"/>
      <c r="K343" s="76">
        <f>VLOOKUP($H$343,Tabisr,1)</f>
        <v>4244.01</v>
      </c>
      <c r="L343" s="72">
        <f>+H343-K343</f>
        <v>500.63000000000011</v>
      </c>
      <c r="M343" s="77">
        <f>VLOOKUP($H$343,Tabisr,4)</f>
        <v>0.1792</v>
      </c>
      <c r="N343" s="76">
        <f>(H343-4244.01)*17.92%</f>
        <v>89.712896000000029</v>
      </c>
      <c r="O343" s="76">
        <v>388.05</v>
      </c>
      <c r="P343" s="76">
        <f>N343+O343</f>
        <v>477.76289600000007</v>
      </c>
      <c r="Q343" s="76">
        <f>VLOOKUP($H$343,Tabsub,3)</f>
        <v>0</v>
      </c>
      <c r="R343" s="76"/>
      <c r="S343" s="76"/>
      <c r="T343" s="76"/>
      <c r="U343" s="76"/>
      <c r="V343" s="72">
        <f>H343+I343+J343-P343+Q343-R343-S343-T343-U343</f>
        <v>4666.8771040000001</v>
      </c>
      <c r="W343" s="72">
        <f>V343-I343</f>
        <v>4266.8771040000001</v>
      </c>
      <c r="Y343" s="14">
        <f>+H343+I343+J343+Q343-P343-R343-S343-T343-U343</f>
        <v>4666.8771040000001</v>
      </c>
      <c r="Z343" s="14">
        <f>+V343-I343</f>
        <v>4266.8771040000001</v>
      </c>
    </row>
    <row r="344" spans="1:26" x14ac:dyDescent="0.25">
      <c r="A344" s="32">
        <v>196</v>
      </c>
      <c r="B344" s="48">
        <v>1586243587</v>
      </c>
      <c r="C344" s="16" t="s">
        <v>407</v>
      </c>
      <c r="D344" s="161" t="s">
        <v>163</v>
      </c>
      <c r="E344" s="203" t="s">
        <v>408</v>
      </c>
      <c r="F344" s="67">
        <v>16</v>
      </c>
      <c r="G344" s="91">
        <v>250.29</v>
      </c>
      <c r="H344" s="76">
        <f>F344*G344</f>
        <v>4004.64</v>
      </c>
      <c r="I344" s="76">
        <v>400</v>
      </c>
      <c r="J344" s="130"/>
      <c r="K344" s="131"/>
      <c r="L344" s="131"/>
      <c r="M344" s="131"/>
      <c r="N344" s="68">
        <f>(H344-3651.01)*16%</f>
        <v>56.580799999999947</v>
      </c>
      <c r="O344" s="76">
        <v>293.25</v>
      </c>
      <c r="P344" s="68">
        <f>N344+O344</f>
        <v>349.83079999999995</v>
      </c>
      <c r="Q344" s="130"/>
      <c r="R344" s="37">
        <v>1000</v>
      </c>
      <c r="S344" s="130"/>
      <c r="T344" s="130"/>
      <c r="U344" s="130"/>
      <c r="V344" s="72">
        <f>H344+I344+J344-P344+Q344-R344-S344-T344-U344</f>
        <v>3054.8091999999997</v>
      </c>
      <c r="W344" s="70">
        <f>V344-I344</f>
        <v>2654.8091999999997</v>
      </c>
      <c r="Y344" s="14">
        <f>+H344+I344+J344+Q344-P344-R344-S344-T344-U344</f>
        <v>3054.8091999999997</v>
      </c>
      <c r="Z344" s="14">
        <f>+V344-I344</f>
        <v>2654.8091999999997</v>
      </c>
    </row>
    <row r="345" spans="1:26" x14ac:dyDescent="0.25">
      <c r="A345" s="32">
        <v>197</v>
      </c>
      <c r="B345" s="48">
        <v>1585782582</v>
      </c>
      <c r="C345" s="16" t="s">
        <v>522</v>
      </c>
      <c r="D345" s="191" t="s">
        <v>519</v>
      </c>
      <c r="E345" s="21" t="s">
        <v>523</v>
      </c>
      <c r="F345" s="67">
        <v>16</v>
      </c>
      <c r="G345" s="91">
        <v>153.71</v>
      </c>
      <c r="H345" s="76">
        <f>F345*G345</f>
        <v>2459.36</v>
      </c>
      <c r="I345" s="76">
        <v>400</v>
      </c>
      <c r="J345" s="32"/>
      <c r="K345" s="76" t="e">
        <f>VLOOKUP(#REF!,Tabisr,1)</f>
        <v>#REF!</v>
      </c>
      <c r="L345" s="72" t="e">
        <f>+H345-K345</f>
        <v>#REF!</v>
      </c>
      <c r="M345" s="77" t="e">
        <f>VLOOKUP(#REF!,Tabisr,4)</f>
        <v>#REF!</v>
      </c>
      <c r="N345" s="76">
        <f>(H345-2077.51)*10.88%</f>
        <v>41.545279999999991</v>
      </c>
      <c r="O345" s="76">
        <v>121.95</v>
      </c>
      <c r="P345" s="76">
        <f>N345+O345</f>
        <v>163.49527999999998</v>
      </c>
      <c r="Q345" s="76">
        <f>VLOOKUP($H$347,Tabsub,3)</f>
        <v>160.35</v>
      </c>
      <c r="R345" s="76"/>
      <c r="S345" s="76"/>
      <c r="T345" s="76"/>
      <c r="U345" s="76"/>
      <c r="V345" s="72">
        <f>H345+I345+J345-P345+Q345-R345-S345-T345-U345</f>
        <v>2856.2147199999999</v>
      </c>
      <c r="W345" s="72">
        <f>V345-I345</f>
        <v>2456.2147199999999</v>
      </c>
      <c r="Y345" s="14">
        <f>+H345+I345+J345+Q345-P345-R345-S345-T345-U345</f>
        <v>2856.2147199999999</v>
      </c>
      <c r="Z345" s="14">
        <f>+V345-I345</f>
        <v>2456.2147199999999</v>
      </c>
    </row>
    <row r="346" spans="1:26" x14ac:dyDescent="0.25">
      <c r="A346" s="32">
        <v>198</v>
      </c>
      <c r="B346" s="48">
        <v>1585781381</v>
      </c>
      <c r="C346" s="16" t="s">
        <v>599</v>
      </c>
      <c r="D346" s="16" t="s">
        <v>637</v>
      </c>
      <c r="E346" s="16" t="s">
        <v>604</v>
      </c>
      <c r="F346" s="67">
        <v>16</v>
      </c>
      <c r="G346" s="91">
        <v>250.29</v>
      </c>
      <c r="H346" s="76">
        <f>F346*G346</f>
        <v>4004.64</v>
      </c>
      <c r="I346" s="76">
        <v>400</v>
      </c>
      <c r="J346" s="130"/>
      <c r="K346" s="131"/>
      <c r="L346" s="131"/>
      <c r="M346" s="131"/>
      <c r="N346" s="68">
        <f>(H346-3651.01)*16%</f>
        <v>56.580799999999947</v>
      </c>
      <c r="O346" s="76">
        <v>293.25</v>
      </c>
      <c r="P346" s="68">
        <f>N346+O346</f>
        <v>349.83079999999995</v>
      </c>
      <c r="Q346" s="130"/>
      <c r="R346" s="37"/>
      <c r="S346" s="130"/>
      <c r="T346" s="130"/>
      <c r="U346" s="130"/>
      <c r="V346" s="72">
        <f>H346+I346+J346-P346+Q346-R346-S346-T346-U346</f>
        <v>4054.8091999999997</v>
      </c>
      <c r="W346" s="70">
        <f>V346-I346</f>
        <v>3654.8091999999997</v>
      </c>
      <c r="Y346" s="14">
        <f>+H346+I346+J346+Q346-P346-R346-S346-T346-U346</f>
        <v>4054.8091999999997</v>
      </c>
      <c r="Z346" s="14">
        <f>+V346-I346</f>
        <v>3654.8091999999997</v>
      </c>
    </row>
    <row r="347" spans="1:26" x14ac:dyDescent="0.25">
      <c r="A347" s="32">
        <v>199</v>
      </c>
      <c r="B347" s="48">
        <v>1585782590</v>
      </c>
      <c r="C347" s="192" t="s">
        <v>341</v>
      </c>
      <c r="D347" s="246" t="s">
        <v>183</v>
      </c>
      <c r="E347" s="203" t="s">
        <v>340</v>
      </c>
      <c r="F347" s="90">
        <v>16</v>
      </c>
      <c r="G347" s="99">
        <v>153.71</v>
      </c>
      <c r="H347" s="68">
        <f>F347*G347</f>
        <v>2459.36</v>
      </c>
      <c r="I347" s="68">
        <v>400</v>
      </c>
      <c r="J347" s="33"/>
      <c r="K347" s="68" t="e">
        <f>VLOOKUP(#REF!,Tabisr,1)</f>
        <v>#REF!</v>
      </c>
      <c r="L347" s="70" t="e">
        <f>+H347-K347</f>
        <v>#REF!</v>
      </c>
      <c r="M347" s="71" t="e">
        <f>VLOOKUP(#REF!,Tabisr,4)</f>
        <v>#REF!</v>
      </c>
      <c r="N347" s="68">
        <f>(H347-2077.51)*10.88%</f>
        <v>41.545279999999991</v>
      </c>
      <c r="O347" s="76">
        <v>121.95</v>
      </c>
      <c r="P347" s="68">
        <f>N347+O347</f>
        <v>163.49527999999998</v>
      </c>
      <c r="Q347" s="68">
        <f>VLOOKUP($H$347,Tabsub,3)</f>
        <v>160.35</v>
      </c>
      <c r="R347" s="68"/>
      <c r="S347" s="68"/>
      <c r="T347" s="68"/>
      <c r="U347" s="68"/>
      <c r="V347" s="72">
        <f>H347+I347+J347-P347+Q347-R347-S347-T347-U347</f>
        <v>2856.2147199999999</v>
      </c>
      <c r="W347" s="70">
        <f>V347-I347</f>
        <v>2456.2147199999999</v>
      </c>
      <c r="Y347" s="14">
        <f>+H347+I347+J347+Q347-P347-R347-S347-T347-U347</f>
        <v>2856.2147199999999</v>
      </c>
      <c r="Z347" s="14">
        <f>+V347-I347</f>
        <v>2456.2147199999999</v>
      </c>
    </row>
    <row r="348" spans="1:26" x14ac:dyDescent="0.25">
      <c r="A348" s="43"/>
      <c r="B348" s="58"/>
      <c r="C348" s="193"/>
      <c r="D348" s="194"/>
      <c r="E348" s="233"/>
      <c r="F348" s="73"/>
      <c r="G348" s="129"/>
      <c r="H348" s="80">
        <f>+SUM(H343:H347)</f>
        <v>17672.64</v>
      </c>
      <c r="I348" s="80">
        <f>+SUM(I343:I347)</f>
        <v>2000</v>
      </c>
      <c r="J348" s="80">
        <f t="shared" ref="J348:W348" si="159">+SUM(J343:J347)</f>
        <v>0</v>
      </c>
      <c r="K348" s="80" t="e">
        <f t="shared" si="159"/>
        <v>#REF!</v>
      </c>
      <c r="L348" s="80" t="e">
        <f t="shared" si="159"/>
        <v>#REF!</v>
      </c>
      <c r="M348" s="80" t="e">
        <f t="shared" si="159"/>
        <v>#REF!</v>
      </c>
      <c r="N348" s="80">
        <f t="shared" si="159"/>
        <v>285.96505599999989</v>
      </c>
      <c r="O348" s="80">
        <f t="shared" si="159"/>
        <v>1218.45</v>
      </c>
      <c r="P348" s="80">
        <f t="shared" si="159"/>
        <v>1504.4150559999998</v>
      </c>
      <c r="Q348" s="80">
        <f t="shared" si="159"/>
        <v>320.7</v>
      </c>
      <c r="R348" s="80">
        <f t="shared" si="159"/>
        <v>1000</v>
      </c>
      <c r="S348" s="80">
        <f t="shared" si="159"/>
        <v>0</v>
      </c>
      <c r="T348" s="80">
        <f t="shared" si="159"/>
        <v>0</v>
      </c>
      <c r="U348" s="80">
        <f t="shared" si="159"/>
        <v>0</v>
      </c>
      <c r="V348" s="80">
        <f t="shared" si="159"/>
        <v>17488.924943999999</v>
      </c>
      <c r="W348" s="80">
        <f t="shared" si="159"/>
        <v>15488.924943999999</v>
      </c>
      <c r="Y348" s="15">
        <f>+SUM(Y343:Y347)</f>
        <v>17488.924943999999</v>
      </c>
      <c r="Z348" s="15">
        <f>+SUM(Z343:Z347)</f>
        <v>15488.924943999999</v>
      </c>
    </row>
    <row r="349" spans="1:26" x14ac:dyDescent="0.25">
      <c r="A349" s="43"/>
      <c r="B349" s="58"/>
      <c r="C349" s="193"/>
      <c r="D349" s="194"/>
      <c r="E349" s="233"/>
      <c r="F349" s="73"/>
      <c r="G349" s="129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75"/>
      <c r="W349" s="75"/>
      <c r="Y349" s="14"/>
      <c r="Z349" s="14"/>
    </row>
    <row r="350" spans="1:26" ht="18.75" x14ac:dyDescent="0.25">
      <c r="A350" s="290" t="s">
        <v>405</v>
      </c>
      <c r="B350" s="290"/>
      <c r="C350" s="290"/>
      <c r="D350" s="290"/>
      <c r="E350" s="290"/>
      <c r="F350" s="290"/>
      <c r="G350" s="290"/>
      <c r="H350" s="290"/>
      <c r="I350" s="290"/>
      <c r="J350" s="290"/>
      <c r="K350" s="290"/>
      <c r="L350" s="290"/>
      <c r="M350" s="290"/>
      <c r="N350" s="290"/>
      <c r="O350" s="290"/>
      <c r="P350" s="290"/>
      <c r="Q350" s="290"/>
      <c r="R350" s="290"/>
      <c r="S350" s="290"/>
      <c r="T350" s="290"/>
      <c r="U350" s="290"/>
      <c r="V350" s="290"/>
      <c r="W350" s="290"/>
      <c r="Y350" s="14"/>
      <c r="Z350" s="14"/>
    </row>
    <row r="351" spans="1:26" ht="35.25" customHeight="1" x14ac:dyDescent="0.25">
      <c r="A351" s="31" t="s">
        <v>69</v>
      </c>
      <c r="B351" s="244" t="s">
        <v>588</v>
      </c>
      <c r="C351" s="31" t="s">
        <v>17</v>
      </c>
      <c r="D351" s="31" t="s">
        <v>161</v>
      </c>
      <c r="E351" s="31" t="s">
        <v>143</v>
      </c>
      <c r="F351" s="31" t="s">
        <v>27</v>
      </c>
      <c r="G351" s="31" t="s">
        <v>19</v>
      </c>
      <c r="H351" s="31" t="s">
        <v>18</v>
      </c>
      <c r="I351" s="31" t="s">
        <v>66</v>
      </c>
      <c r="J351" s="31" t="s">
        <v>74</v>
      </c>
      <c r="K351" s="50" t="s">
        <v>301</v>
      </c>
      <c r="L351" s="50" t="s">
        <v>302</v>
      </c>
      <c r="M351" s="50" t="s">
        <v>303</v>
      </c>
      <c r="N351" s="50" t="s">
        <v>304</v>
      </c>
      <c r="O351" s="31" t="s">
        <v>305</v>
      </c>
      <c r="P351" s="31" t="s">
        <v>67</v>
      </c>
      <c r="Q351" s="31" t="s">
        <v>68</v>
      </c>
      <c r="R351" s="31" t="s">
        <v>20</v>
      </c>
      <c r="S351" s="31" t="s">
        <v>452</v>
      </c>
      <c r="T351" s="31" t="s">
        <v>72</v>
      </c>
      <c r="U351" s="31" t="s">
        <v>157</v>
      </c>
      <c r="V351" s="31" t="s">
        <v>155</v>
      </c>
      <c r="W351" s="31" t="s">
        <v>156</v>
      </c>
      <c r="Y351" s="14"/>
      <c r="Z351" s="14"/>
    </row>
    <row r="352" spans="1:26" x14ac:dyDescent="0.25">
      <c r="A352" s="251">
        <v>201</v>
      </c>
      <c r="B352" s="252">
        <v>1585782612</v>
      </c>
      <c r="C352" s="253" t="s">
        <v>272</v>
      </c>
      <c r="D352" s="16" t="s">
        <v>254</v>
      </c>
      <c r="E352" s="21" t="s">
        <v>273</v>
      </c>
      <c r="F352" s="245">
        <v>16</v>
      </c>
      <c r="G352" s="91">
        <v>296.54000000000002</v>
      </c>
      <c r="H352" s="76">
        <f>F352*G352</f>
        <v>4744.6400000000003</v>
      </c>
      <c r="I352" s="76">
        <v>400</v>
      </c>
      <c r="J352" s="32"/>
      <c r="K352" s="76">
        <f>VLOOKUP($H$353,Tabisr,1)</f>
        <v>3651.01</v>
      </c>
      <c r="L352" s="72">
        <f>+H352-K352</f>
        <v>1093.6300000000001</v>
      </c>
      <c r="M352" s="77">
        <f>VLOOKUP($H$353,Tabisr,4)</f>
        <v>0.16</v>
      </c>
      <c r="N352" s="76">
        <f>(H352-4244.01)*17.92%</f>
        <v>89.712896000000029</v>
      </c>
      <c r="O352" s="76">
        <v>388.05</v>
      </c>
      <c r="P352" s="76">
        <f>N352+O352</f>
        <v>477.76289600000007</v>
      </c>
      <c r="Q352" s="76"/>
      <c r="R352" s="76"/>
      <c r="S352" s="76"/>
      <c r="T352" s="76"/>
      <c r="U352" s="76"/>
      <c r="V352" s="72">
        <f>H352+I352+J352-P352+Q352-R352-S352-T352-U352</f>
        <v>4666.8771040000001</v>
      </c>
      <c r="W352" s="72">
        <f>V352-I352</f>
        <v>4266.8771040000001</v>
      </c>
      <c r="Y352" s="14">
        <f>H352+I352+J352-P352+Q352-R352-S352-T352-U352</f>
        <v>4666.8771040000001</v>
      </c>
      <c r="Z352" s="14">
        <f>V352-I352</f>
        <v>4266.8771040000001</v>
      </c>
    </row>
    <row r="353" spans="1:26" x14ac:dyDescent="0.25">
      <c r="A353" s="251">
        <v>200</v>
      </c>
      <c r="B353" s="252">
        <v>1585782603</v>
      </c>
      <c r="C353" s="253" t="s">
        <v>436</v>
      </c>
      <c r="D353" s="16" t="s">
        <v>163</v>
      </c>
      <c r="E353" s="21" t="s">
        <v>669</v>
      </c>
      <c r="F353" s="91">
        <v>16</v>
      </c>
      <c r="G353" s="91">
        <v>250.29</v>
      </c>
      <c r="H353" s="76">
        <f>F353*G353</f>
        <v>4004.64</v>
      </c>
      <c r="I353" s="76">
        <v>400</v>
      </c>
      <c r="J353" s="32"/>
      <c r="K353" s="76" t="e">
        <f>VLOOKUP(#REF!,Tabisr,1)</f>
        <v>#REF!</v>
      </c>
      <c r="L353" s="72" t="e">
        <f>+H353-K353</f>
        <v>#REF!</v>
      </c>
      <c r="M353" s="77" t="e">
        <f>VLOOKUP(#REF!,Tabisr,4)</f>
        <v>#REF!</v>
      </c>
      <c r="N353" s="76">
        <f>(H353-2077.51)*10.88%</f>
        <v>209.67174399999999</v>
      </c>
      <c r="O353" s="76">
        <v>121.95</v>
      </c>
      <c r="P353" s="76">
        <v>309.77999999999997</v>
      </c>
      <c r="Q353" s="76"/>
      <c r="R353" s="76">
        <v>1260</v>
      </c>
      <c r="S353" s="76"/>
      <c r="T353" s="76"/>
      <c r="U353" s="76"/>
      <c r="V353" s="72">
        <f>H353+I353+J353-P353+Q353-R353-S353-T353-U353</f>
        <v>2834.8599999999997</v>
      </c>
      <c r="W353" s="72">
        <f>V353-I353</f>
        <v>2434.8599999999997</v>
      </c>
      <c r="Y353" s="14">
        <f t="shared" ref="Y353:Y354" si="160">H353+I353+J353-P353+Q353-R353-S353-T353-U353</f>
        <v>2834.8599999999997</v>
      </c>
      <c r="Z353" s="14">
        <f t="shared" ref="Z353:Z354" si="161">V353-I353</f>
        <v>2434.8599999999997</v>
      </c>
    </row>
    <row r="354" spans="1:26" s="12" customFormat="1" x14ac:dyDescent="0.25">
      <c r="A354" s="32">
        <v>202</v>
      </c>
      <c r="B354" s="48">
        <v>1585782620</v>
      </c>
      <c r="C354" s="16" t="s">
        <v>590</v>
      </c>
      <c r="D354" s="19" t="s">
        <v>163</v>
      </c>
      <c r="E354" s="19" t="s">
        <v>609</v>
      </c>
      <c r="F354" s="91">
        <v>16</v>
      </c>
      <c r="G354" s="91">
        <v>250.29</v>
      </c>
      <c r="H354" s="76">
        <f>F354*G354</f>
        <v>4004.64</v>
      </c>
      <c r="I354" s="76">
        <v>400</v>
      </c>
      <c r="J354" s="32"/>
      <c r="K354" s="76" t="e">
        <f>VLOOKUP(#REF!,Tabisr,1)</f>
        <v>#REF!</v>
      </c>
      <c r="L354" s="72" t="e">
        <f>+H354-K354</f>
        <v>#REF!</v>
      </c>
      <c r="M354" s="77" t="e">
        <f>VLOOKUP(#REF!,Tabisr,4)</f>
        <v>#REF!</v>
      </c>
      <c r="N354" s="76">
        <f>(H354-2077.51)*10.88%</f>
        <v>209.67174399999999</v>
      </c>
      <c r="O354" s="76">
        <v>121.95</v>
      </c>
      <c r="P354" s="76">
        <v>309.77999999999997</v>
      </c>
      <c r="Q354" s="76"/>
      <c r="R354" s="76"/>
      <c r="S354" s="76"/>
      <c r="T354" s="76"/>
      <c r="U354" s="76"/>
      <c r="V354" s="72">
        <f>H354+I354+J354-P354+Q354-R354-S354-T354-U354</f>
        <v>4094.8599999999997</v>
      </c>
      <c r="W354" s="72">
        <f>V354-I354</f>
        <v>3694.8599999999997</v>
      </c>
      <c r="Y354" s="14">
        <f t="shared" si="160"/>
        <v>4094.8599999999997</v>
      </c>
      <c r="Z354" s="14">
        <f t="shared" si="161"/>
        <v>3694.8599999999997</v>
      </c>
    </row>
    <row r="355" spans="1:26" s="10" customFormat="1" x14ac:dyDescent="0.25">
      <c r="A355" s="43"/>
      <c r="B355" s="58"/>
      <c r="C355" s="169"/>
      <c r="D355" s="170"/>
      <c r="E355" s="234"/>
      <c r="F355" s="88"/>
      <c r="G355" s="88"/>
      <c r="H355" s="89">
        <f>+SUM(H352:H354)</f>
        <v>12753.92</v>
      </c>
      <c r="I355" s="89">
        <f>+SUM(I352:I354)</f>
        <v>1200</v>
      </c>
      <c r="J355" s="89">
        <f t="shared" ref="J355:U355" si="162">+SUM(J353:J354)</f>
        <v>0</v>
      </c>
      <c r="K355" s="89" t="e">
        <f t="shared" si="162"/>
        <v>#REF!</v>
      </c>
      <c r="L355" s="89" t="e">
        <f t="shared" si="162"/>
        <v>#REF!</v>
      </c>
      <c r="M355" s="89" t="e">
        <f t="shared" si="162"/>
        <v>#REF!</v>
      </c>
      <c r="N355" s="89">
        <f t="shared" si="162"/>
        <v>419.34348799999998</v>
      </c>
      <c r="O355" s="89">
        <f t="shared" si="162"/>
        <v>243.9</v>
      </c>
      <c r="P355" s="89">
        <f t="shared" si="162"/>
        <v>619.55999999999995</v>
      </c>
      <c r="Q355" s="89">
        <f t="shared" si="162"/>
        <v>0</v>
      </c>
      <c r="R355" s="89">
        <f t="shared" si="162"/>
        <v>1260</v>
      </c>
      <c r="S355" s="89">
        <f t="shared" si="162"/>
        <v>0</v>
      </c>
      <c r="T355" s="89">
        <f t="shared" si="162"/>
        <v>0</v>
      </c>
      <c r="U355" s="89">
        <f t="shared" si="162"/>
        <v>0</v>
      </c>
      <c r="V355" s="89">
        <f>+SUM(V352:V354)</f>
        <v>11596.597104</v>
      </c>
      <c r="W355" s="89">
        <f>+SUM(W352:W354)</f>
        <v>10396.597104</v>
      </c>
      <c r="Y355" s="15">
        <f>SUM(Y352:Y354)</f>
        <v>11596.597104</v>
      </c>
      <c r="Z355" s="15">
        <f>+SUM(Z352:Z354)</f>
        <v>10396.597104</v>
      </c>
    </row>
    <row r="356" spans="1:26" s="10" customFormat="1" x14ac:dyDescent="0.25">
      <c r="A356" s="43"/>
      <c r="B356" s="58"/>
      <c r="C356" s="169"/>
      <c r="D356" s="170"/>
      <c r="E356" s="234"/>
      <c r="F356" s="88"/>
      <c r="G356" s="88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Y356" s="14"/>
      <c r="Z356" s="14"/>
    </row>
    <row r="357" spans="1:26" s="10" customFormat="1" ht="18.75" x14ac:dyDescent="0.25">
      <c r="A357" s="277" t="s">
        <v>406</v>
      </c>
      <c r="B357" s="278"/>
      <c r="C357" s="278"/>
      <c r="D357" s="278"/>
      <c r="E357" s="278"/>
      <c r="F357" s="278"/>
      <c r="G357" s="278"/>
      <c r="H357" s="278"/>
      <c r="I357" s="278"/>
      <c r="J357" s="278"/>
      <c r="K357" s="278"/>
      <c r="L357" s="278"/>
      <c r="M357" s="278"/>
      <c r="N357" s="278"/>
      <c r="O357" s="278"/>
      <c r="P357" s="278"/>
      <c r="Q357" s="278"/>
      <c r="R357" s="278"/>
      <c r="S357" s="278"/>
      <c r="T357" s="278"/>
      <c r="U357" s="278"/>
      <c r="V357" s="278"/>
      <c r="W357" s="279"/>
      <c r="Y357" s="14"/>
      <c r="Z357" s="14"/>
    </row>
    <row r="358" spans="1:26" s="10" customFormat="1" ht="34.5" customHeight="1" x14ac:dyDescent="0.25">
      <c r="A358" s="41" t="s">
        <v>69</v>
      </c>
      <c r="B358" s="52" t="s">
        <v>588</v>
      </c>
      <c r="C358" s="41" t="s">
        <v>17</v>
      </c>
      <c r="D358" s="41" t="s">
        <v>161</v>
      </c>
      <c r="E358" s="41" t="s">
        <v>143</v>
      </c>
      <c r="F358" s="41" t="s">
        <v>27</v>
      </c>
      <c r="G358" s="41" t="s">
        <v>19</v>
      </c>
      <c r="H358" s="41" t="s">
        <v>18</v>
      </c>
      <c r="I358" s="41" t="s">
        <v>66</v>
      </c>
      <c r="J358" s="41" t="s">
        <v>74</v>
      </c>
      <c r="K358" s="132" t="s">
        <v>301</v>
      </c>
      <c r="L358" s="132" t="s">
        <v>302</v>
      </c>
      <c r="M358" s="132" t="s">
        <v>303</v>
      </c>
      <c r="N358" s="132" t="s">
        <v>304</v>
      </c>
      <c r="O358" s="41" t="s">
        <v>305</v>
      </c>
      <c r="P358" s="41" t="s">
        <v>67</v>
      </c>
      <c r="Q358" s="41" t="s">
        <v>68</v>
      </c>
      <c r="R358" s="41" t="s">
        <v>20</v>
      </c>
      <c r="S358" s="31" t="s">
        <v>452</v>
      </c>
      <c r="T358" s="41" t="s">
        <v>72</v>
      </c>
      <c r="U358" s="41" t="s">
        <v>157</v>
      </c>
      <c r="V358" s="41" t="s">
        <v>155</v>
      </c>
      <c r="W358" s="41" t="s">
        <v>156</v>
      </c>
      <c r="Y358" s="14"/>
      <c r="Z358" s="14"/>
    </row>
    <row r="359" spans="1:26" s="10" customFormat="1" x14ac:dyDescent="0.25">
      <c r="A359" s="32">
        <v>203</v>
      </c>
      <c r="B359" s="48">
        <v>1585782638</v>
      </c>
      <c r="C359" s="16" t="s">
        <v>434</v>
      </c>
      <c r="D359" s="16" t="s">
        <v>254</v>
      </c>
      <c r="E359" s="21" t="s">
        <v>435</v>
      </c>
      <c r="F359" s="67">
        <v>16</v>
      </c>
      <c r="G359" s="76">
        <v>296.54000000000002</v>
      </c>
      <c r="H359" s="76">
        <f>F359*G359</f>
        <v>4744.6400000000003</v>
      </c>
      <c r="I359" s="76">
        <v>400</v>
      </c>
      <c r="J359" s="76"/>
      <c r="K359" s="76">
        <f>VLOOKUP($H$283,Tabisr,1)</f>
        <v>5081.01</v>
      </c>
      <c r="L359" s="72">
        <f>+H359-K359</f>
        <v>-336.36999999999989</v>
      </c>
      <c r="M359" s="77">
        <f>VLOOKUP($H$283,Tabisr,4)</f>
        <v>0.21360000000000001</v>
      </c>
      <c r="N359" s="76">
        <f>(H359-4244.01)*17.92%</f>
        <v>89.712896000000029</v>
      </c>
      <c r="O359" s="76">
        <v>388.05</v>
      </c>
      <c r="P359" s="76">
        <f>N359+O359</f>
        <v>477.76289600000007</v>
      </c>
      <c r="Q359" s="76">
        <f>VLOOKUP($H$359,Tabsub,3)</f>
        <v>0</v>
      </c>
      <c r="R359" s="76"/>
      <c r="S359" s="76"/>
      <c r="T359" s="76"/>
      <c r="U359" s="76"/>
      <c r="V359" s="72">
        <f>H359+I359+J359-P359+Q359-R359-S359-T359-U359</f>
        <v>4666.8771040000001</v>
      </c>
      <c r="W359" s="72">
        <f>V359-I359</f>
        <v>4266.8771040000001</v>
      </c>
      <c r="X359" s="12"/>
      <c r="Y359" s="14">
        <f>+H359+I359+J359+Q359-P359-R359-S359-T359-U359</f>
        <v>4666.8771040000001</v>
      </c>
      <c r="Z359" s="14">
        <f>+V359-I359</f>
        <v>4266.8771040000001</v>
      </c>
    </row>
    <row r="360" spans="1:26" s="10" customFormat="1" x14ac:dyDescent="0.25">
      <c r="A360" s="37">
        <v>204</v>
      </c>
      <c r="B360" s="48">
        <v>1585782646</v>
      </c>
      <c r="C360" s="161" t="s">
        <v>482</v>
      </c>
      <c r="D360" s="162" t="s">
        <v>163</v>
      </c>
      <c r="E360" s="203" t="s">
        <v>483</v>
      </c>
      <c r="F360" s="67">
        <v>16</v>
      </c>
      <c r="G360" s="91">
        <v>250.29</v>
      </c>
      <c r="H360" s="76">
        <f>F360*G360</f>
        <v>4004.64</v>
      </c>
      <c r="I360" s="76">
        <v>400</v>
      </c>
      <c r="J360" s="130"/>
      <c r="K360" s="131"/>
      <c r="L360" s="131"/>
      <c r="M360" s="131"/>
      <c r="N360" s="68">
        <f>(H360-3651.01)*16%</f>
        <v>56.580799999999947</v>
      </c>
      <c r="O360" s="76">
        <v>293.25</v>
      </c>
      <c r="P360" s="68">
        <f>N360+O360</f>
        <v>349.83079999999995</v>
      </c>
      <c r="Q360" s="130"/>
      <c r="R360" s="130"/>
      <c r="S360" s="130"/>
      <c r="T360" s="130"/>
      <c r="U360" s="130"/>
      <c r="V360" s="72">
        <f>H360+I360+J360-P360+Q360-R360-S360-T360-U360</f>
        <v>4054.8091999999997</v>
      </c>
      <c r="W360" s="70">
        <f>V360-I360</f>
        <v>3654.8091999999997</v>
      </c>
      <c r="Y360" s="14">
        <f>+H360+I360+J360+Q360-P360-R360-S360-T360-U360</f>
        <v>4054.8091999999997</v>
      </c>
      <c r="Z360" s="14">
        <f>+V360-I360</f>
        <v>3654.8091999999997</v>
      </c>
    </row>
    <row r="361" spans="1:26" s="10" customFormat="1" x14ac:dyDescent="0.25">
      <c r="A361" s="32">
        <v>205</v>
      </c>
      <c r="B361" s="48">
        <v>1585782654</v>
      </c>
      <c r="C361" s="16" t="s">
        <v>540</v>
      </c>
      <c r="D361" s="19" t="s">
        <v>183</v>
      </c>
      <c r="E361" s="19" t="s">
        <v>541</v>
      </c>
      <c r="F361" s="67">
        <v>16</v>
      </c>
      <c r="G361" s="91">
        <v>153.71</v>
      </c>
      <c r="H361" s="76">
        <f>F361*G361</f>
        <v>2459.36</v>
      </c>
      <c r="I361" s="76">
        <v>400</v>
      </c>
      <c r="J361" s="32"/>
      <c r="K361" s="76" t="e">
        <f>VLOOKUP(#REF!,Tabisr,1)</f>
        <v>#REF!</v>
      </c>
      <c r="L361" s="72" t="e">
        <f>+H361-K361</f>
        <v>#REF!</v>
      </c>
      <c r="M361" s="77" t="e">
        <f>VLOOKUP(#REF!,Tabisr,4)</f>
        <v>#REF!</v>
      </c>
      <c r="N361" s="76">
        <f>(H361-2077.51)*10.88%</f>
        <v>41.545279999999991</v>
      </c>
      <c r="O361" s="76">
        <v>121.95</v>
      </c>
      <c r="P361" s="76">
        <f>N361+O361</f>
        <v>163.49527999999998</v>
      </c>
      <c r="Q361" s="76">
        <f>VLOOKUP($H$347,Tabsub,3)</f>
        <v>160.35</v>
      </c>
      <c r="R361" s="76"/>
      <c r="S361" s="76"/>
      <c r="T361" s="76"/>
      <c r="U361" s="76"/>
      <c r="V361" s="72">
        <f>H361+I361+J361-P361+Q361-R361-S361-T361-U361</f>
        <v>2856.2147199999999</v>
      </c>
      <c r="W361" s="72">
        <f>V361-I361</f>
        <v>2456.2147199999999</v>
      </c>
      <c r="Y361" s="14">
        <f>+H361+I361+J361+Q361-P361-R361-S361-T361-U361</f>
        <v>2856.2147199999999</v>
      </c>
      <c r="Z361" s="14">
        <f>+V361-I361</f>
        <v>2456.2147199999999</v>
      </c>
    </row>
    <row r="362" spans="1:26" s="10" customFormat="1" x14ac:dyDescent="0.25">
      <c r="A362" s="37">
        <v>206</v>
      </c>
      <c r="B362" s="48">
        <v>1585782664</v>
      </c>
      <c r="C362" s="16" t="s">
        <v>552</v>
      </c>
      <c r="D362" s="189" t="s">
        <v>553</v>
      </c>
      <c r="E362" s="19" t="s">
        <v>554</v>
      </c>
      <c r="F362" s="67">
        <v>16</v>
      </c>
      <c r="G362" s="91">
        <v>196.61</v>
      </c>
      <c r="H362" s="76">
        <f>F362*G362</f>
        <v>3145.76</v>
      </c>
      <c r="I362" s="76">
        <v>400</v>
      </c>
      <c r="J362" s="32"/>
      <c r="K362" s="76">
        <f>VLOOKUP($H$363,Tabisr,1)</f>
        <v>2077.5100000000002</v>
      </c>
      <c r="L362" s="72">
        <f>+H362-K362</f>
        <v>1068.25</v>
      </c>
      <c r="M362" s="77">
        <f>VLOOKUP($H$363,Tabisr,4)</f>
        <v>0.10879999999999999</v>
      </c>
      <c r="N362" s="76">
        <f>(H362-2077.51)*10.88%+29.4</f>
        <v>145.62560000000002</v>
      </c>
      <c r="O362" s="76">
        <v>121.95</v>
      </c>
      <c r="P362" s="76">
        <f>N362+O362</f>
        <v>267.57560000000001</v>
      </c>
      <c r="Q362" s="76">
        <f>VLOOKUP($H$347,Tabsub,3)</f>
        <v>160.35</v>
      </c>
      <c r="R362" s="76"/>
      <c r="S362" s="76"/>
      <c r="T362" s="76"/>
      <c r="U362" s="76"/>
      <c r="V362" s="72">
        <f>H362+I362+J362-P362+Q362-R362-S362-T362-U362</f>
        <v>3438.5344</v>
      </c>
      <c r="W362" s="72">
        <f>V362-I362</f>
        <v>3038.5344</v>
      </c>
      <c r="Y362" s="14">
        <f>+H362+I362+J362+Q362-P362-R362-S362-T362-U362</f>
        <v>3438.5344</v>
      </c>
      <c r="Z362" s="14">
        <f>+V362-I362</f>
        <v>3038.5344</v>
      </c>
    </row>
    <row r="363" spans="1:26" s="10" customFormat="1" x14ac:dyDescent="0.25">
      <c r="A363" s="32">
        <v>207</v>
      </c>
      <c r="B363" s="48">
        <v>1585782671</v>
      </c>
      <c r="C363" s="161" t="s">
        <v>71</v>
      </c>
      <c r="D363" s="161" t="s">
        <v>255</v>
      </c>
      <c r="E363" s="203" t="s">
        <v>93</v>
      </c>
      <c r="F363" s="67">
        <v>16</v>
      </c>
      <c r="G363" s="99">
        <v>196.61</v>
      </c>
      <c r="H363" s="68">
        <f>F363*G363</f>
        <v>3145.76</v>
      </c>
      <c r="I363" s="68">
        <v>400</v>
      </c>
      <c r="J363" s="33"/>
      <c r="K363" s="68">
        <f>VLOOKUP($H$363,Tabisr,1)</f>
        <v>2077.5100000000002</v>
      </c>
      <c r="L363" s="70">
        <f>+H363-K363</f>
        <v>1068.25</v>
      </c>
      <c r="M363" s="71">
        <f>VLOOKUP($H$363,Tabisr,4)</f>
        <v>0.10879999999999999</v>
      </c>
      <c r="N363" s="68">
        <f>(H363-2077.51)*10.88%+29.4</f>
        <v>145.62560000000002</v>
      </c>
      <c r="O363" s="76">
        <v>121.95</v>
      </c>
      <c r="P363" s="68">
        <f>N363+O363</f>
        <v>267.57560000000001</v>
      </c>
      <c r="Q363" s="68">
        <f>VLOOKUP($H$347,Tabsub,3)</f>
        <v>160.35</v>
      </c>
      <c r="R363" s="68"/>
      <c r="S363" s="68"/>
      <c r="T363" s="68"/>
      <c r="U363" s="68"/>
      <c r="V363" s="72">
        <f>H363+I363+J363-P363+Q363-R363-S363-T363-U363</f>
        <v>3438.5344</v>
      </c>
      <c r="W363" s="70">
        <f>V363-I363</f>
        <v>3038.5344</v>
      </c>
      <c r="Y363" s="14">
        <f>+H363+I363+J363+Q363-P363-R363-S363-T363-U363</f>
        <v>3438.5344</v>
      </c>
      <c r="Z363" s="14">
        <f>+V363-I363</f>
        <v>3038.5344</v>
      </c>
    </row>
    <row r="364" spans="1:26" s="10" customFormat="1" x14ac:dyDescent="0.25">
      <c r="A364" s="43"/>
      <c r="B364" s="58"/>
      <c r="C364" s="163"/>
      <c r="D364" s="27"/>
      <c r="E364" s="233"/>
      <c r="F364" s="73"/>
      <c r="G364" s="129"/>
      <c r="H364" s="80">
        <f>+SUM(H359:H363)</f>
        <v>17500.160000000003</v>
      </c>
      <c r="I364" s="80">
        <f>+SUM(I359:I363)</f>
        <v>2000</v>
      </c>
      <c r="J364" s="80">
        <f t="shared" ref="J364:W364" si="163">+SUM(J359:J363)</f>
        <v>0</v>
      </c>
      <c r="K364" s="80" t="e">
        <f t="shared" si="163"/>
        <v>#REF!</v>
      </c>
      <c r="L364" s="80" t="e">
        <f t="shared" si="163"/>
        <v>#REF!</v>
      </c>
      <c r="M364" s="80" t="e">
        <f t="shared" si="163"/>
        <v>#REF!</v>
      </c>
      <c r="N364" s="80">
        <f t="shared" si="163"/>
        <v>479.09017599999999</v>
      </c>
      <c r="O364" s="80">
        <f t="shared" si="163"/>
        <v>1047.1500000000001</v>
      </c>
      <c r="P364" s="80">
        <f t="shared" si="163"/>
        <v>1526.2401760000002</v>
      </c>
      <c r="Q364" s="80">
        <f t="shared" si="163"/>
        <v>481.04999999999995</v>
      </c>
      <c r="R364" s="80">
        <f t="shared" si="163"/>
        <v>0</v>
      </c>
      <c r="S364" s="80">
        <f t="shared" si="163"/>
        <v>0</v>
      </c>
      <c r="T364" s="80">
        <f t="shared" si="163"/>
        <v>0</v>
      </c>
      <c r="U364" s="80">
        <f t="shared" si="163"/>
        <v>0</v>
      </c>
      <c r="V364" s="80">
        <f t="shared" si="163"/>
        <v>18454.969824</v>
      </c>
      <c r="W364" s="80">
        <f t="shared" si="163"/>
        <v>16454.969824</v>
      </c>
      <c r="Y364" s="15">
        <f>+SUM(Y359:Y363)</f>
        <v>18454.969824</v>
      </c>
      <c r="Z364" s="15">
        <f>+SUM(Z359:Z363)</f>
        <v>16454.969824</v>
      </c>
    </row>
    <row r="365" spans="1:26" s="10" customFormat="1" x14ac:dyDescent="0.25">
      <c r="A365" s="43"/>
      <c r="B365" s="58"/>
      <c r="C365" s="163"/>
      <c r="D365" s="27"/>
      <c r="E365" s="233"/>
      <c r="F365" s="73"/>
      <c r="G365" s="129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Y365" s="15"/>
      <c r="Z365" s="15"/>
    </row>
    <row r="366" spans="1:26" s="10" customFormat="1" x14ac:dyDescent="0.25">
      <c r="A366" s="43"/>
      <c r="B366" s="58"/>
      <c r="C366" s="163"/>
      <c r="D366" s="27"/>
      <c r="E366" s="233"/>
      <c r="F366" s="73"/>
      <c r="G366" s="129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Y366" s="14"/>
      <c r="Z366" s="14"/>
    </row>
    <row r="367" spans="1:26" s="10" customFormat="1" ht="18.75" x14ac:dyDescent="0.25">
      <c r="A367" s="277" t="s">
        <v>569</v>
      </c>
      <c r="B367" s="278"/>
      <c r="C367" s="278"/>
      <c r="D367" s="278"/>
      <c r="E367" s="278"/>
      <c r="F367" s="278"/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  <c r="V367" s="278"/>
      <c r="W367" s="279"/>
      <c r="Y367" s="14"/>
      <c r="Z367" s="14"/>
    </row>
    <row r="368" spans="1:26" s="10" customFormat="1" ht="33.75" customHeight="1" x14ac:dyDescent="0.25">
      <c r="A368" s="31" t="s">
        <v>69</v>
      </c>
      <c r="B368" s="52" t="s">
        <v>588</v>
      </c>
      <c r="C368" s="31" t="s">
        <v>17</v>
      </c>
      <c r="D368" s="31" t="s">
        <v>161</v>
      </c>
      <c r="E368" s="31" t="s">
        <v>143</v>
      </c>
      <c r="F368" s="31" t="s">
        <v>27</v>
      </c>
      <c r="G368" s="31" t="s">
        <v>19</v>
      </c>
      <c r="H368" s="31" t="s">
        <v>18</v>
      </c>
      <c r="I368" s="31" t="s">
        <v>66</v>
      </c>
      <c r="J368" s="31" t="s">
        <v>74</v>
      </c>
      <c r="K368" s="50" t="s">
        <v>301</v>
      </c>
      <c r="L368" s="50" t="s">
        <v>302</v>
      </c>
      <c r="M368" s="50" t="s">
        <v>303</v>
      </c>
      <c r="N368" s="50" t="s">
        <v>304</v>
      </c>
      <c r="O368" s="31" t="s">
        <v>305</v>
      </c>
      <c r="P368" s="31" t="s">
        <v>67</v>
      </c>
      <c r="Q368" s="31" t="s">
        <v>68</v>
      </c>
      <c r="R368" s="31" t="s">
        <v>20</v>
      </c>
      <c r="S368" s="31" t="s">
        <v>452</v>
      </c>
      <c r="T368" s="31" t="s">
        <v>72</v>
      </c>
      <c r="U368" s="31" t="s">
        <v>157</v>
      </c>
      <c r="V368" s="31" t="s">
        <v>155</v>
      </c>
      <c r="W368" s="31" t="s">
        <v>156</v>
      </c>
      <c r="Y368" s="14"/>
      <c r="Z368" s="14"/>
    </row>
    <row r="369" spans="1:26" s="10" customFormat="1" x14ac:dyDescent="0.25">
      <c r="A369" s="32">
        <v>208</v>
      </c>
      <c r="B369" s="48">
        <v>1585782689</v>
      </c>
      <c r="C369" s="16" t="s">
        <v>28</v>
      </c>
      <c r="D369" s="19" t="s">
        <v>342</v>
      </c>
      <c r="E369" s="19" t="s">
        <v>96</v>
      </c>
      <c r="F369" s="67">
        <v>16</v>
      </c>
      <c r="G369" s="76">
        <v>393.95</v>
      </c>
      <c r="H369" s="72">
        <f>F369*G369</f>
        <v>6303.2</v>
      </c>
      <c r="I369" s="64">
        <v>400</v>
      </c>
      <c r="J369" s="64"/>
      <c r="K369" s="76">
        <f>VLOOKUP($H$206,Tabisr,1)</f>
        <v>5081.01</v>
      </c>
      <c r="L369" s="72">
        <f>+H369-K369</f>
        <v>1222.1899999999996</v>
      </c>
      <c r="M369" s="77">
        <f>VLOOKUP($H$206,Tabisr,4)</f>
        <v>0.21360000000000001</v>
      </c>
      <c r="N369" s="68">
        <f>+L369*M369</f>
        <v>261.05978399999992</v>
      </c>
      <c r="O369" s="76">
        <f>VLOOKUP($H$206,Tabisr,3)</f>
        <v>538.20000000000005</v>
      </c>
      <c r="P369" s="64">
        <f>+N369+O369</f>
        <v>799.25978399999997</v>
      </c>
      <c r="Q369" s="76">
        <f>VLOOKUP($H$369,Tabsub,3)</f>
        <v>0</v>
      </c>
      <c r="R369" s="64"/>
      <c r="S369" s="64"/>
      <c r="T369" s="64"/>
      <c r="U369" s="64"/>
      <c r="V369" s="72">
        <f>H369+I369+J369-P369+Q369-R369-S369-T369-U369</f>
        <v>5903.940216</v>
      </c>
      <c r="W369" s="72">
        <f>V369-I369</f>
        <v>5503.940216</v>
      </c>
      <c r="Y369" s="14">
        <f>+H369+I369+J369+Q369-P369-R369-S369-T369-U369</f>
        <v>5903.940216</v>
      </c>
      <c r="Z369" s="14">
        <f>+V369-I369</f>
        <v>5503.940216</v>
      </c>
    </row>
    <row r="370" spans="1:26" s="10" customFormat="1" x14ac:dyDescent="0.25">
      <c r="A370" s="33">
        <v>209</v>
      </c>
      <c r="B370" s="48">
        <v>1585782697</v>
      </c>
      <c r="C370" s="16" t="s">
        <v>411</v>
      </c>
      <c r="D370" s="162" t="s">
        <v>342</v>
      </c>
      <c r="E370" s="203" t="s">
        <v>95</v>
      </c>
      <c r="F370" s="90">
        <v>16</v>
      </c>
      <c r="G370" s="68">
        <v>393.95</v>
      </c>
      <c r="H370" s="68">
        <f>F370*G370</f>
        <v>6303.2</v>
      </c>
      <c r="I370" s="120">
        <v>400</v>
      </c>
      <c r="J370" s="120"/>
      <c r="K370" s="68">
        <f>VLOOKUP($H$206,Tabisr,1)</f>
        <v>5081.01</v>
      </c>
      <c r="L370" s="70">
        <f>+H370-K370</f>
        <v>1222.1899999999996</v>
      </c>
      <c r="M370" s="71">
        <f>VLOOKUP($H$206,Tabisr,4)</f>
        <v>0.21360000000000001</v>
      </c>
      <c r="N370" s="68">
        <f>+L370*M370</f>
        <v>261.05978399999992</v>
      </c>
      <c r="O370" s="76">
        <f>VLOOKUP($H$206,Tabisr,3)</f>
        <v>538.20000000000005</v>
      </c>
      <c r="P370" s="64">
        <f>+N370+O370</f>
        <v>799.25978399999997</v>
      </c>
      <c r="Q370" s="68">
        <f>VLOOKUP($H$369,Tabsub,3)</f>
        <v>0</v>
      </c>
      <c r="R370" s="120"/>
      <c r="S370" s="120">
        <v>1185</v>
      </c>
      <c r="T370" s="120"/>
      <c r="U370" s="120"/>
      <c r="V370" s="72">
        <f>H370+I370+J370-P370+Q370-R370-S370-T370-U370</f>
        <v>4718.940216</v>
      </c>
      <c r="W370" s="70">
        <f>V370-I370</f>
        <v>4318.940216</v>
      </c>
      <c r="Y370" s="14">
        <f>+H370+I370+J370+Q370-P370-R370-S370-T370-U370</f>
        <v>4718.940216</v>
      </c>
      <c r="Z370" s="14">
        <f>+V370-I370</f>
        <v>4318.940216</v>
      </c>
    </row>
    <row r="371" spans="1:26" s="10" customFormat="1" x14ac:dyDescent="0.25">
      <c r="A371" s="43"/>
      <c r="B371" s="58"/>
      <c r="C371" s="163"/>
      <c r="D371" s="27"/>
      <c r="E371" s="233"/>
      <c r="F371" s="73"/>
      <c r="G371" s="129"/>
      <c r="H371" s="80">
        <f>SUM(H369:H370)</f>
        <v>12606.4</v>
      </c>
      <c r="I371" s="80">
        <f>SUM(I369:I370)</f>
        <v>800</v>
      </c>
      <c r="J371" s="80">
        <f t="shared" ref="J371:W371" si="164">SUM(J369:J370)</f>
        <v>0</v>
      </c>
      <c r="K371" s="80">
        <f t="shared" si="164"/>
        <v>10162.02</v>
      </c>
      <c r="L371" s="80">
        <f t="shared" si="164"/>
        <v>2444.3799999999992</v>
      </c>
      <c r="M371" s="80">
        <f t="shared" si="164"/>
        <v>0.42720000000000002</v>
      </c>
      <c r="N371" s="80">
        <f t="shared" si="164"/>
        <v>522.11956799999984</v>
      </c>
      <c r="O371" s="80">
        <f t="shared" si="164"/>
        <v>1076.4000000000001</v>
      </c>
      <c r="P371" s="80">
        <f t="shared" si="164"/>
        <v>1598.5195679999999</v>
      </c>
      <c r="Q371" s="80">
        <f t="shared" si="164"/>
        <v>0</v>
      </c>
      <c r="R371" s="80">
        <f t="shared" si="164"/>
        <v>0</v>
      </c>
      <c r="S371" s="80">
        <f t="shared" si="164"/>
        <v>1185</v>
      </c>
      <c r="T371" s="80">
        <f t="shared" si="164"/>
        <v>0</v>
      </c>
      <c r="U371" s="80">
        <f t="shared" si="164"/>
        <v>0</v>
      </c>
      <c r="V371" s="80">
        <f t="shared" si="164"/>
        <v>10622.880432</v>
      </c>
      <c r="W371" s="80">
        <f t="shared" si="164"/>
        <v>9822.8804319999999</v>
      </c>
      <c r="Y371" s="15">
        <f>SUM(Y369:Y370)</f>
        <v>10622.880432</v>
      </c>
      <c r="Z371" s="15">
        <f>SUM(Z369:Z370)</f>
        <v>9822.8804319999999</v>
      </c>
    </row>
    <row r="372" spans="1:26" s="10" customFormat="1" x14ac:dyDescent="0.25">
      <c r="A372" s="43"/>
      <c r="B372" s="58"/>
      <c r="C372" s="163"/>
      <c r="D372" s="27"/>
      <c r="E372" s="233"/>
      <c r="F372" s="73"/>
      <c r="G372" s="129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Y372" s="15"/>
      <c r="Z372" s="15"/>
    </row>
    <row r="373" spans="1:26" s="10" customFormat="1" x14ac:dyDescent="0.25">
      <c r="A373" s="43"/>
      <c r="B373" s="58"/>
      <c r="C373" s="163"/>
      <c r="D373" s="27"/>
      <c r="E373" s="233"/>
      <c r="F373" s="73"/>
      <c r="G373" s="129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Y373" s="15"/>
      <c r="Z373" s="15"/>
    </row>
    <row r="374" spans="1:26" s="10" customFormat="1" ht="18.75" x14ac:dyDescent="0.25">
      <c r="A374" s="277" t="s">
        <v>587</v>
      </c>
      <c r="B374" s="278"/>
      <c r="C374" s="278"/>
      <c r="D374" s="278"/>
      <c r="E374" s="278"/>
      <c r="F374" s="278"/>
      <c r="G374" s="278"/>
      <c r="H374" s="278"/>
      <c r="I374" s="278"/>
      <c r="J374" s="278"/>
      <c r="K374" s="278"/>
      <c r="L374" s="278"/>
      <c r="M374" s="278"/>
      <c r="N374" s="278"/>
      <c r="O374" s="278"/>
      <c r="P374" s="278"/>
      <c r="Q374" s="278"/>
      <c r="R374" s="278"/>
      <c r="S374" s="278"/>
      <c r="T374" s="278"/>
      <c r="U374" s="278"/>
      <c r="V374" s="278"/>
      <c r="W374" s="279"/>
      <c r="Y374" s="15"/>
      <c r="Z374" s="15"/>
    </row>
    <row r="375" spans="1:26" s="10" customFormat="1" ht="35.25" customHeight="1" x14ac:dyDescent="0.25">
      <c r="A375" s="31" t="s">
        <v>69</v>
      </c>
      <c r="B375" s="52" t="s">
        <v>588</v>
      </c>
      <c r="C375" s="31" t="s">
        <v>17</v>
      </c>
      <c r="D375" s="31" t="s">
        <v>161</v>
      </c>
      <c r="E375" s="31" t="s">
        <v>143</v>
      </c>
      <c r="F375" s="31" t="s">
        <v>27</v>
      </c>
      <c r="G375" s="31" t="s">
        <v>19</v>
      </c>
      <c r="H375" s="31" t="s">
        <v>18</v>
      </c>
      <c r="I375" s="31" t="s">
        <v>66</v>
      </c>
      <c r="J375" s="31" t="s">
        <v>74</v>
      </c>
      <c r="K375" s="50" t="s">
        <v>301</v>
      </c>
      <c r="L375" s="50" t="s">
        <v>302</v>
      </c>
      <c r="M375" s="50" t="s">
        <v>303</v>
      </c>
      <c r="N375" s="50" t="s">
        <v>304</v>
      </c>
      <c r="O375" s="31" t="s">
        <v>305</v>
      </c>
      <c r="P375" s="31" t="s">
        <v>67</v>
      </c>
      <c r="Q375" s="31" t="s">
        <v>68</v>
      </c>
      <c r="R375" s="31" t="s">
        <v>20</v>
      </c>
      <c r="S375" s="31" t="s">
        <v>452</v>
      </c>
      <c r="T375" s="31" t="s">
        <v>72</v>
      </c>
      <c r="U375" s="31" t="s">
        <v>157</v>
      </c>
      <c r="V375" s="31" t="s">
        <v>155</v>
      </c>
      <c r="W375" s="31" t="s">
        <v>156</v>
      </c>
      <c r="Y375" s="15"/>
      <c r="Z375" s="15"/>
    </row>
    <row r="376" spans="1:26" s="10" customFormat="1" ht="18" x14ac:dyDescent="0.25">
      <c r="A376" s="40">
        <v>210</v>
      </c>
      <c r="B376" s="48">
        <v>1585782701</v>
      </c>
      <c r="C376" s="16" t="s">
        <v>64</v>
      </c>
      <c r="D376" s="241" t="s">
        <v>441</v>
      </c>
      <c r="E376" s="174" t="s">
        <v>81</v>
      </c>
      <c r="F376" s="40">
        <v>16</v>
      </c>
      <c r="G376" s="116">
        <v>661.33</v>
      </c>
      <c r="H376" s="117">
        <f>F376*G376</f>
        <v>10581.28</v>
      </c>
      <c r="I376" s="117"/>
      <c r="J376" s="117"/>
      <c r="K376" s="117">
        <v>1571.8</v>
      </c>
      <c r="L376" s="117"/>
      <c r="M376" s="117"/>
      <c r="N376" s="117"/>
      <c r="O376" s="117"/>
      <c r="P376" s="117">
        <v>1571.8</v>
      </c>
      <c r="Q376" s="117"/>
      <c r="R376" s="117"/>
      <c r="S376" s="68"/>
      <c r="T376" s="68"/>
      <c r="U376" s="68"/>
      <c r="V376" s="68">
        <f t="shared" ref="V376:V401" si="165">H376+I376+J376-P376+Q376-R376-S376-T376-U376</f>
        <v>9009.4800000000014</v>
      </c>
      <c r="W376" s="68">
        <f t="shared" ref="W376:W401" si="166">V376-I376</f>
        <v>9009.4800000000014</v>
      </c>
      <c r="X376" s="254"/>
      <c r="Y376" s="14">
        <f t="shared" ref="Y376:Y401" si="167">+H376+I376+J376+Q376-P376-R376-S376-T376-U376</f>
        <v>9009.4800000000014</v>
      </c>
      <c r="Z376" s="14">
        <f t="shared" ref="Z376:Z401" si="168">+V376-I376</f>
        <v>9009.4800000000014</v>
      </c>
    </row>
    <row r="377" spans="1:26" s="10" customFormat="1" x14ac:dyDescent="0.25">
      <c r="A377" s="40">
        <v>214</v>
      </c>
      <c r="B377" s="48">
        <v>1585782743</v>
      </c>
      <c r="C377" s="16" t="s">
        <v>336</v>
      </c>
      <c r="D377" s="16" t="s">
        <v>445</v>
      </c>
      <c r="E377" s="173" t="s">
        <v>337</v>
      </c>
      <c r="F377" s="40">
        <v>16</v>
      </c>
      <c r="G377" s="105">
        <v>401.66</v>
      </c>
      <c r="H377" s="106">
        <f t="shared" ref="H377" si="169">F377*G377</f>
        <v>6426.56</v>
      </c>
      <c r="I377" s="106">
        <v>400</v>
      </c>
      <c r="J377" s="106"/>
      <c r="K377" s="106">
        <v>673.07</v>
      </c>
      <c r="L377" s="106"/>
      <c r="M377" s="106"/>
      <c r="N377" s="106"/>
      <c r="O377" s="106"/>
      <c r="P377" s="106">
        <v>673.07</v>
      </c>
      <c r="Q377" s="117"/>
      <c r="R377" s="117">
        <v>870</v>
      </c>
      <c r="S377" s="68"/>
      <c r="T377" s="68"/>
      <c r="U377" s="68">
        <v>300</v>
      </c>
      <c r="V377" s="68">
        <f t="shared" si="165"/>
        <v>4983.4900000000007</v>
      </c>
      <c r="W377" s="68">
        <f t="shared" si="166"/>
        <v>4583.4900000000007</v>
      </c>
      <c r="X377" s="254"/>
      <c r="Y377" s="14">
        <f t="shared" ref="Y377:Y378" si="170">+H377+I377+J377+Q377-P377-R377-S377-T377-U377</f>
        <v>4983.4900000000007</v>
      </c>
      <c r="Z377" s="14">
        <f t="shared" ref="Z377:Z378" si="171">+V377-I377</f>
        <v>4583.4900000000007</v>
      </c>
    </row>
    <row r="378" spans="1:26" s="10" customFormat="1" x14ac:dyDescent="0.25">
      <c r="A378" s="40">
        <v>215</v>
      </c>
      <c r="B378" s="48">
        <v>1585782752</v>
      </c>
      <c r="C378" s="16" t="s">
        <v>242</v>
      </c>
      <c r="D378" s="16" t="s">
        <v>264</v>
      </c>
      <c r="E378" s="173" t="s">
        <v>243</v>
      </c>
      <c r="F378" s="40">
        <v>16</v>
      </c>
      <c r="G378" s="105">
        <v>401.66</v>
      </c>
      <c r="H378" s="106">
        <f t="shared" ref="H378:H401" si="172">F378*G378</f>
        <v>6426.56</v>
      </c>
      <c r="I378" s="106">
        <v>400</v>
      </c>
      <c r="J378" s="106"/>
      <c r="K378" s="106">
        <v>673.07</v>
      </c>
      <c r="L378" s="106"/>
      <c r="M378" s="106"/>
      <c r="N378" s="106"/>
      <c r="O378" s="106"/>
      <c r="P378" s="106">
        <v>673.07</v>
      </c>
      <c r="Q378" s="117"/>
      <c r="R378" s="117"/>
      <c r="S378" s="68"/>
      <c r="T378" s="68"/>
      <c r="U378" s="68"/>
      <c r="V378" s="68">
        <f t="shared" ref="V378" si="173">H378+I378+J378-P378+Q378-R378-S378-T378-U378</f>
        <v>6153.4900000000007</v>
      </c>
      <c r="W378" s="68">
        <f t="shared" ref="W378" si="174">V378-I378</f>
        <v>5753.4900000000007</v>
      </c>
      <c r="X378" s="254"/>
      <c r="Y378" s="14">
        <f t="shared" si="170"/>
        <v>6153.4900000000007</v>
      </c>
      <c r="Z378" s="14">
        <f t="shared" si="171"/>
        <v>5753.4900000000007</v>
      </c>
    </row>
    <row r="379" spans="1:26" s="10" customFormat="1" x14ac:dyDescent="0.25">
      <c r="A379" s="40">
        <v>217</v>
      </c>
      <c r="B379" s="48">
        <v>1585782778</v>
      </c>
      <c r="C379" s="16" t="s">
        <v>524</v>
      </c>
      <c r="D379" s="16" t="s">
        <v>169</v>
      </c>
      <c r="E379" s="173" t="s">
        <v>525</v>
      </c>
      <c r="F379" s="40">
        <v>16</v>
      </c>
      <c r="G379" s="105">
        <v>317.87</v>
      </c>
      <c r="H379" s="106">
        <f>F379*G379</f>
        <v>5085.92</v>
      </c>
      <c r="I379" s="106">
        <v>400</v>
      </c>
      <c r="J379" s="106"/>
      <c r="K379" s="106">
        <v>488.66</v>
      </c>
      <c r="L379" s="106"/>
      <c r="M379" s="106"/>
      <c r="N379" s="106"/>
      <c r="O379" s="106"/>
      <c r="P379" s="106">
        <v>488.66</v>
      </c>
      <c r="Q379" s="117"/>
      <c r="R379" s="117"/>
      <c r="S379" s="68">
        <v>476</v>
      </c>
      <c r="T379" s="68"/>
      <c r="U379" s="68"/>
      <c r="V379" s="68">
        <f t="shared" si="165"/>
        <v>4521.26</v>
      </c>
      <c r="W379" s="68">
        <f t="shared" si="166"/>
        <v>4121.26</v>
      </c>
      <c r="Y379" s="14">
        <f t="shared" si="167"/>
        <v>4521.26</v>
      </c>
      <c r="Z379" s="14">
        <f t="shared" si="168"/>
        <v>4121.26</v>
      </c>
    </row>
    <row r="380" spans="1:26" s="10" customFormat="1" x14ac:dyDescent="0.25">
      <c r="A380" s="60">
        <v>220</v>
      </c>
      <c r="B380" s="56">
        <v>1585782808</v>
      </c>
      <c r="C380" s="22" t="s">
        <v>490</v>
      </c>
      <c r="D380" s="22" t="s">
        <v>169</v>
      </c>
      <c r="E380" s="195" t="s">
        <v>491</v>
      </c>
      <c r="F380" s="60">
        <v>16</v>
      </c>
      <c r="G380" s="134">
        <v>317.87</v>
      </c>
      <c r="H380" s="135">
        <f t="shared" si="172"/>
        <v>5085.92</v>
      </c>
      <c r="I380" s="135">
        <v>400</v>
      </c>
      <c r="J380" s="135"/>
      <c r="K380" s="135">
        <v>488.66</v>
      </c>
      <c r="L380" s="135"/>
      <c r="M380" s="135">
        <v>870</v>
      </c>
      <c r="N380" s="135"/>
      <c r="O380" s="135">
        <f>2585.5/2</f>
        <v>1292.75</v>
      </c>
      <c r="P380" s="135">
        <v>488.66</v>
      </c>
      <c r="Q380" s="135"/>
      <c r="R380" s="135">
        <v>870</v>
      </c>
      <c r="S380" s="95">
        <v>1062</v>
      </c>
      <c r="T380" s="95">
        <f>2585.5/2</f>
        <v>1292.75</v>
      </c>
      <c r="U380" s="95"/>
      <c r="V380" s="95">
        <f t="shared" si="165"/>
        <v>1772.5100000000002</v>
      </c>
      <c r="W380" s="95">
        <f t="shared" si="166"/>
        <v>1372.5100000000002</v>
      </c>
      <c r="Y380" s="14">
        <f t="shared" si="167"/>
        <v>1772.5100000000002</v>
      </c>
      <c r="Z380" s="14">
        <f t="shared" si="168"/>
        <v>1372.5100000000002</v>
      </c>
    </row>
    <row r="381" spans="1:26" s="10" customFormat="1" x14ac:dyDescent="0.25">
      <c r="A381" s="40">
        <v>240</v>
      </c>
      <c r="B381" s="48">
        <v>1588823556</v>
      </c>
      <c r="C381" s="16" t="s">
        <v>629</v>
      </c>
      <c r="D381" s="16" t="s">
        <v>169</v>
      </c>
      <c r="E381" s="16" t="s">
        <v>630</v>
      </c>
      <c r="F381" s="40">
        <v>16</v>
      </c>
      <c r="G381" s="105">
        <v>317.87</v>
      </c>
      <c r="H381" s="106">
        <f>F381*G381</f>
        <v>5085.92</v>
      </c>
      <c r="I381" s="106">
        <v>400</v>
      </c>
      <c r="J381" s="106"/>
      <c r="K381" s="106">
        <v>488.66</v>
      </c>
      <c r="L381" s="106"/>
      <c r="M381" s="106">
        <v>870</v>
      </c>
      <c r="N381" s="106"/>
      <c r="O381" s="106"/>
      <c r="P381" s="106">
        <v>488.66</v>
      </c>
      <c r="Q381" s="106"/>
      <c r="R381" s="106"/>
      <c r="S381" s="76"/>
      <c r="T381" s="76"/>
      <c r="U381" s="76"/>
      <c r="V381" s="76">
        <f t="shared" si="165"/>
        <v>4997.26</v>
      </c>
      <c r="W381" s="76">
        <f t="shared" si="166"/>
        <v>4597.26</v>
      </c>
      <c r="Y381" s="14">
        <f t="shared" si="167"/>
        <v>4997.26</v>
      </c>
      <c r="Z381" s="14">
        <f t="shared" si="168"/>
        <v>4597.26</v>
      </c>
    </row>
    <row r="382" spans="1:26" s="10" customFormat="1" x14ac:dyDescent="0.25">
      <c r="A382" s="40">
        <v>222</v>
      </c>
      <c r="B382" s="48">
        <v>1585782824</v>
      </c>
      <c r="C382" s="16" t="s">
        <v>60</v>
      </c>
      <c r="D382" s="161" t="s">
        <v>169</v>
      </c>
      <c r="E382" s="174" t="s">
        <v>79</v>
      </c>
      <c r="F382" s="40">
        <v>16</v>
      </c>
      <c r="G382" s="116">
        <v>251.21</v>
      </c>
      <c r="H382" s="117">
        <f t="shared" si="172"/>
        <v>4019.36</v>
      </c>
      <c r="I382" s="117">
        <v>400</v>
      </c>
      <c r="J382" s="117"/>
      <c r="K382" s="117">
        <v>311.99</v>
      </c>
      <c r="L382" s="117"/>
      <c r="M382" s="117"/>
      <c r="N382" s="117"/>
      <c r="O382" s="117"/>
      <c r="P382" s="117">
        <v>311.99</v>
      </c>
      <c r="Q382" s="117"/>
      <c r="R382" s="117"/>
      <c r="S382" s="68"/>
      <c r="T382" s="68"/>
      <c r="U382" s="68"/>
      <c r="V382" s="68">
        <f t="shared" si="165"/>
        <v>4107.3700000000008</v>
      </c>
      <c r="W382" s="68">
        <f t="shared" si="166"/>
        <v>3707.3700000000008</v>
      </c>
      <c r="Y382" s="14">
        <f t="shared" si="167"/>
        <v>4107.3700000000008</v>
      </c>
      <c r="Z382" s="14">
        <f t="shared" si="168"/>
        <v>3707.3700000000008</v>
      </c>
    </row>
    <row r="383" spans="1:26" s="10" customFormat="1" x14ac:dyDescent="0.25">
      <c r="A383" s="37">
        <v>223</v>
      </c>
      <c r="B383" s="48">
        <v>1517245338</v>
      </c>
      <c r="C383" s="16" t="s">
        <v>503</v>
      </c>
      <c r="D383" s="16" t="s">
        <v>169</v>
      </c>
      <c r="E383" s="173" t="s">
        <v>504</v>
      </c>
      <c r="F383" s="37">
        <v>16</v>
      </c>
      <c r="G383" s="105">
        <v>317.87</v>
      </c>
      <c r="H383" s="106">
        <f t="shared" si="172"/>
        <v>5085.92</v>
      </c>
      <c r="I383" s="106">
        <v>400</v>
      </c>
      <c r="J383" s="106"/>
      <c r="K383" s="106">
        <v>488.66</v>
      </c>
      <c r="L383" s="106"/>
      <c r="M383" s="106"/>
      <c r="N383" s="106"/>
      <c r="O383" s="106"/>
      <c r="P383" s="106">
        <v>488.66</v>
      </c>
      <c r="Q383" s="106"/>
      <c r="R383" s="106"/>
      <c r="S383" s="76"/>
      <c r="T383" s="76"/>
      <c r="U383" s="76"/>
      <c r="V383" s="76">
        <f t="shared" si="165"/>
        <v>4997.26</v>
      </c>
      <c r="W383" s="76">
        <f t="shared" si="166"/>
        <v>4597.26</v>
      </c>
      <c r="Y383" s="14">
        <f t="shared" si="167"/>
        <v>4997.26</v>
      </c>
      <c r="Z383" s="14">
        <f t="shared" si="168"/>
        <v>4597.26</v>
      </c>
    </row>
    <row r="384" spans="1:26" s="10" customFormat="1" x14ac:dyDescent="0.25">
      <c r="A384" s="60">
        <v>235</v>
      </c>
      <c r="B384" s="56"/>
      <c r="C384" s="22" t="s">
        <v>565</v>
      </c>
      <c r="D384" s="22" t="s">
        <v>191</v>
      </c>
      <c r="E384" s="195" t="s">
        <v>566</v>
      </c>
      <c r="F384" s="60">
        <v>16</v>
      </c>
      <c r="G384" s="134">
        <v>317.87</v>
      </c>
      <c r="H384" s="135">
        <f>F384*G384</f>
        <v>5085.92</v>
      </c>
      <c r="I384" s="135">
        <v>400</v>
      </c>
      <c r="J384" s="135"/>
      <c r="K384" s="135">
        <v>488.66</v>
      </c>
      <c r="L384" s="135"/>
      <c r="M384" s="135"/>
      <c r="N384" s="135"/>
      <c r="O384" s="135"/>
      <c r="P384" s="135">
        <v>488.66</v>
      </c>
      <c r="Q384" s="135"/>
      <c r="R384" s="135"/>
      <c r="S384" s="95"/>
      <c r="T384" s="95"/>
      <c r="U384" s="95"/>
      <c r="V384" s="95">
        <f t="shared" si="165"/>
        <v>4997.26</v>
      </c>
      <c r="W384" s="95">
        <f t="shared" si="166"/>
        <v>4597.26</v>
      </c>
      <c r="Y384" s="14">
        <f t="shared" si="167"/>
        <v>4997.26</v>
      </c>
      <c r="Z384" s="14">
        <f t="shared" si="168"/>
        <v>4597.26</v>
      </c>
    </row>
    <row r="385" spans="1:26" s="10" customFormat="1" x14ac:dyDescent="0.25">
      <c r="A385" s="60">
        <v>231</v>
      </c>
      <c r="B385" s="56"/>
      <c r="C385" s="22" t="s">
        <v>346</v>
      </c>
      <c r="D385" s="22" t="s">
        <v>191</v>
      </c>
      <c r="E385" s="195" t="s">
        <v>347</v>
      </c>
      <c r="F385" s="60">
        <v>16</v>
      </c>
      <c r="G385" s="134">
        <v>317.87</v>
      </c>
      <c r="H385" s="135">
        <f>F385*G385</f>
        <v>5085.92</v>
      </c>
      <c r="I385" s="135">
        <v>400</v>
      </c>
      <c r="J385" s="135"/>
      <c r="K385" s="135">
        <v>488.66</v>
      </c>
      <c r="L385" s="135"/>
      <c r="M385" s="135"/>
      <c r="N385" s="135">
        <v>887</v>
      </c>
      <c r="O385" s="135"/>
      <c r="P385" s="135">
        <v>488.66</v>
      </c>
      <c r="Q385" s="135"/>
      <c r="R385" s="135"/>
      <c r="S385" s="95">
        <v>1100</v>
      </c>
      <c r="T385" s="95"/>
      <c r="U385" s="95"/>
      <c r="V385" s="95">
        <f t="shared" si="165"/>
        <v>3897.26</v>
      </c>
      <c r="W385" s="95">
        <f t="shared" si="166"/>
        <v>3497.26</v>
      </c>
      <c r="Y385" s="14">
        <f t="shared" si="167"/>
        <v>3897.26</v>
      </c>
      <c r="Z385" s="14">
        <f t="shared" si="168"/>
        <v>3497.26</v>
      </c>
    </row>
    <row r="386" spans="1:26" s="10" customFormat="1" x14ac:dyDescent="0.25">
      <c r="A386" s="37">
        <v>229</v>
      </c>
      <c r="B386" s="48">
        <v>1511565211</v>
      </c>
      <c r="C386" s="16" t="s">
        <v>671</v>
      </c>
      <c r="D386" s="16" t="s">
        <v>191</v>
      </c>
      <c r="E386" s="173" t="s">
        <v>672</v>
      </c>
      <c r="F386" s="37">
        <v>16</v>
      </c>
      <c r="G386" s="105">
        <v>317.87</v>
      </c>
      <c r="H386" s="106">
        <f>F386*G386</f>
        <v>5085.92</v>
      </c>
      <c r="I386" s="106">
        <v>400</v>
      </c>
      <c r="J386" s="106"/>
      <c r="K386" s="106">
        <v>488.66</v>
      </c>
      <c r="L386" s="106"/>
      <c r="M386" s="106"/>
      <c r="N386" s="106">
        <v>887</v>
      </c>
      <c r="O386" s="106"/>
      <c r="P386" s="106">
        <v>488.66</v>
      </c>
      <c r="Q386" s="106"/>
      <c r="R386" s="106"/>
      <c r="S386" s="76"/>
      <c r="T386" s="76"/>
      <c r="U386" s="76"/>
      <c r="V386" s="76">
        <f t="shared" ref="V386" si="175">H386+I386+J386-P386+Q386-R386-S386-T386-U386</f>
        <v>4997.26</v>
      </c>
      <c r="W386" s="76">
        <f t="shared" ref="W386" si="176">V386-I386</f>
        <v>4597.26</v>
      </c>
      <c r="X386" s="12"/>
      <c r="Y386" s="14">
        <f t="shared" si="167"/>
        <v>4997.26</v>
      </c>
      <c r="Z386" s="14">
        <f t="shared" si="168"/>
        <v>4597.26</v>
      </c>
    </row>
    <row r="387" spans="1:26" s="10" customFormat="1" x14ac:dyDescent="0.25">
      <c r="A387" s="40">
        <v>216</v>
      </c>
      <c r="B387" s="48">
        <v>1585782760</v>
      </c>
      <c r="C387" s="16" t="s">
        <v>513</v>
      </c>
      <c r="D387" s="16" t="s">
        <v>191</v>
      </c>
      <c r="E387" s="173" t="s">
        <v>514</v>
      </c>
      <c r="F387" s="40">
        <v>16</v>
      </c>
      <c r="G387" s="105">
        <v>317.87</v>
      </c>
      <c r="H387" s="106">
        <f>F387*G387</f>
        <v>5085.92</v>
      </c>
      <c r="I387" s="106">
        <v>400</v>
      </c>
      <c r="J387" s="106"/>
      <c r="K387" s="106">
        <v>488.66</v>
      </c>
      <c r="L387" s="106"/>
      <c r="M387" s="106">
        <v>870</v>
      </c>
      <c r="N387" s="106"/>
      <c r="O387" s="106"/>
      <c r="P387" s="106">
        <v>488.66</v>
      </c>
      <c r="Q387" s="117"/>
      <c r="R387" s="117">
        <v>870</v>
      </c>
      <c r="S387" s="68"/>
      <c r="T387" s="68"/>
      <c r="U387" s="68"/>
      <c r="V387" s="68">
        <f>H387+I387+J387-P387+Q387-R387-S387-T387-U387</f>
        <v>4127.26</v>
      </c>
      <c r="W387" s="68">
        <f>V387-I387</f>
        <v>3727.26</v>
      </c>
      <c r="Y387" s="14">
        <f>+H387+I387+J387+Q387-P387-R387-S387-T387-U387</f>
        <v>4127.26</v>
      </c>
      <c r="Z387" s="14">
        <f>+V387-I387</f>
        <v>3727.26</v>
      </c>
    </row>
    <row r="388" spans="1:26" s="10" customFormat="1" x14ac:dyDescent="0.25">
      <c r="A388" s="40">
        <v>221</v>
      </c>
      <c r="B388" s="48">
        <v>1585782816</v>
      </c>
      <c r="C388" s="16" t="s">
        <v>494</v>
      </c>
      <c r="D388" s="16" t="s">
        <v>191</v>
      </c>
      <c r="E388" s="173" t="s">
        <v>495</v>
      </c>
      <c r="F388" s="40">
        <v>16</v>
      </c>
      <c r="G388" s="105">
        <v>317.87</v>
      </c>
      <c r="H388" s="106">
        <f>F388*G388</f>
        <v>5085.92</v>
      </c>
      <c r="I388" s="106">
        <v>400</v>
      </c>
      <c r="J388" s="106"/>
      <c r="K388" s="106">
        <v>488.66</v>
      </c>
      <c r="L388" s="106"/>
      <c r="M388" s="106"/>
      <c r="N388" s="106"/>
      <c r="O388" s="106"/>
      <c r="P388" s="106">
        <v>488.66</v>
      </c>
      <c r="Q388" s="117"/>
      <c r="R388" s="117"/>
      <c r="S388" s="68"/>
      <c r="T388" s="68"/>
      <c r="U388" s="68"/>
      <c r="V388" s="68">
        <f>H388+I388+J388-P388+Q388-R388-S388-T388-U388</f>
        <v>4997.26</v>
      </c>
      <c r="W388" s="68">
        <f>V388-I388</f>
        <v>4597.26</v>
      </c>
      <c r="Y388" s="14">
        <f>+H388+I388+J388+Q388-P388-R388-S388-T388-U388</f>
        <v>4997.26</v>
      </c>
      <c r="Z388" s="14">
        <f>+V388-I388</f>
        <v>4597.26</v>
      </c>
    </row>
    <row r="389" spans="1:26" s="10" customFormat="1" x14ac:dyDescent="0.25">
      <c r="A389" s="40">
        <v>224</v>
      </c>
      <c r="B389" s="48">
        <v>1585782834</v>
      </c>
      <c r="C389" s="16" t="s">
        <v>244</v>
      </c>
      <c r="D389" s="161" t="s">
        <v>191</v>
      </c>
      <c r="E389" s="173" t="s">
        <v>568</v>
      </c>
      <c r="F389" s="40">
        <v>16</v>
      </c>
      <c r="G389" s="116">
        <v>317.87</v>
      </c>
      <c r="H389" s="117">
        <f t="shared" si="172"/>
        <v>5085.92</v>
      </c>
      <c r="I389" s="117">
        <v>400</v>
      </c>
      <c r="J389" s="117"/>
      <c r="K389" s="117">
        <v>488.66</v>
      </c>
      <c r="L389" s="117"/>
      <c r="M389" s="117"/>
      <c r="N389" s="117"/>
      <c r="O389" s="117"/>
      <c r="P389" s="117">
        <v>488.66</v>
      </c>
      <c r="Q389" s="117"/>
      <c r="R389" s="117"/>
      <c r="S389" s="68"/>
      <c r="T389" s="68"/>
      <c r="U389" s="68"/>
      <c r="V389" s="68">
        <f t="shared" si="165"/>
        <v>4997.26</v>
      </c>
      <c r="W389" s="68">
        <f t="shared" si="166"/>
        <v>4597.26</v>
      </c>
      <c r="Y389" s="14">
        <f t="shared" si="167"/>
        <v>4997.26</v>
      </c>
      <c r="Z389" s="14">
        <f t="shared" si="168"/>
        <v>4597.26</v>
      </c>
    </row>
    <row r="390" spans="1:26" s="12" customFormat="1" x14ac:dyDescent="0.25">
      <c r="A390" s="40">
        <v>225</v>
      </c>
      <c r="B390" s="48">
        <v>1585782841</v>
      </c>
      <c r="C390" s="16" t="s">
        <v>512</v>
      </c>
      <c r="D390" s="16" t="s">
        <v>191</v>
      </c>
      <c r="E390" s="173" t="s">
        <v>516</v>
      </c>
      <c r="F390" s="40">
        <v>16</v>
      </c>
      <c r="G390" s="105">
        <v>317.87</v>
      </c>
      <c r="H390" s="106">
        <f t="shared" si="172"/>
        <v>5085.92</v>
      </c>
      <c r="I390" s="106">
        <v>400</v>
      </c>
      <c r="J390" s="106"/>
      <c r="K390" s="106">
        <v>488.66</v>
      </c>
      <c r="L390" s="106"/>
      <c r="M390" s="106"/>
      <c r="N390" s="106"/>
      <c r="O390" s="106"/>
      <c r="P390" s="106">
        <v>488.66</v>
      </c>
      <c r="Q390" s="106"/>
      <c r="R390" s="106"/>
      <c r="S390" s="76"/>
      <c r="T390" s="76"/>
      <c r="U390" s="76"/>
      <c r="V390" s="76">
        <f t="shared" si="165"/>
        <v>4997.26</v>
      </c>
      <c r="W390" s="76">
        <f t="shared" si="166"/>
        <v>4597.26</v>
      </c>
      <c r="Y390" s="25">
        <f t="shared" si="167"/>
        <v>4997.26</v>
      </c>
      <c r="Z390" s="25">
        <f t="shared" si="168"/>
        <v>4597.26</v>
      </c>
    </row>
    <row r="391" spans="1:26" s="10" customFormat="1" x14ac:dyDescent="0.25">
      <c r="A391" s="40">
        <v>226</v>
      </c>
      <c r="B391" s="48">
        <v>1585782859</v>
      </c>
      <c r="C391" s="16" t="s">
        <v>159</v>
      </c>
      <c r="D391" s="161" t="s">
        <v>191</v>
      </c>
      <c r="E391" s="174" t="s">
        <v>160</v>
      </c>
      <c r="F391" s="40">
        <v>16</v>
      </c>
      <c r="G391" s="116">
        <v>317.87</v>
      </c>
      <c r="H391" s="117">
        <f t="shared" si="172"/>
        <v>5085.92</v>
      </c>
      <c r="I391" s="117">
        <v>400</v>
      </c>
      <c r="J391" s="117"/>
      <c r="K391" s="117">
        <v>488.66</v>
      </c>
      <c r="L391" s="117"/>
      <c r="M391" s="117">
        <v>710</v>
      </c>
      <c r="N391" s="117"/>
      <c r="O391" s="117"/>
      <c r="P391" s="117">
        <v>488.66</v>
      </c>
      <c r="Q391" s="117"/>
      <c r="R391" s="117"/>
      <c r="S391" s="68"/>
      <c r="T391" s="68"/>
      <c r="U391" s="68"/>
      <c r="V391" s="68">
        <f t="shared" si="165"/>
        <v>4997.26</v>
      </c>
      <c r="W391" s="68">
        <f t="shared" si="166"/>
        <v>4597.26</v>
      </c>
      <c r="Y391" s="14">
        <f t="shared" si="167"/>
        <v>4997.26</v>
      </c>
      <c r="Z391" s="14">
        <f t="shared" si="168"/>
        <v>4597.26</v>
      </c>
    </row>
    <row r="392" spans="1:26" s="10" customFormat="1" x14ac:dyDescent="0.25">
      <c r="A392" s="40">
        <v>227</v>
      </c>
      <c r="B392" s="48">
        <v>1585782867</v>
      </c>
      <c r="C392" s="16" t="s">
        <v>61</v>
      </c>
      <c r="D392" s="161" t="s">
        <v>191</v>
      </c>
      <c r="E392" s="174" t="s">
        <v>145</v>
      </c>
      <c r="F392" s="40">
        <v>16</v>
      </c>
      <c r="G392" s="116">
        <v>317.87</v>
      </c>
      <c r="H392" s="117">
        <f t="shared" si="172"/>
        <v>5085.92</v>
      </c>
      <c r="I392" s="117">
        <v>400</v>
      </c>
      <c r="J392" s="117"/>
      <c r="K392" s="117">
        <v>488.66</v>
      </c>
      <c r="L392" s="117"/>
      <c r="M392" s="117">
        <v>870</v>
      </c>
      <c r="N392" s="117"/>
      <c r="O392" s="117"/>
      <c r="P392" s="117">
        <v>488.66</v>
      </c>
      <c r="Q392" s="117"/>
      <c r="R392" s="117">
        <v>870</v>
      </c>
      <c r="S392" s="68">
        <v>945</v>
      </c>
      <c r="T392" s="68"/>
      <c r="U392" s="68"/>
      <c r="V392" s="68">
        <f t="shared" si="165"/>
        <v>3182.26</v>
      </c>
      <c r="W392" s="68">
        <f t="shared" si="166"/>
        <v>2782.26</v>
      </c>
      <c r="Y392" s="14">
        <f t="shared" si="167"/>
        <v>3182.26</v>
      </c>
      <c r="Z392" s="14">
        <f t="shared" si="168"/>
        <v>2782.26</v>
      </c>
    </row>
    <row r="393" spans="1:26" s="10" customFormat="1" x14ac:dyDescent="0.25">
      <c r="A393" s="40">
        <v>228</v>
      </c>
      <c r="B393" s="48">
        <v>1585782875</v>
      </c>
      <c r="C393" s="16" t="s">
        <v>62</v>
      </c>
      <c r="D393" s="161" t="s">
        <v>191</v>
      </c>
      <c r="E393" s="174" t="s">
        <v>80</v>
      </c>
      <c r="F393" s="40">
        <v>16</v>
      </c>
      <c r="G393" s="116">
        <v>317.87</v>
      </c>
      <c r="H393" s="117">
        <f t="shared" si="172"/>
        <v>5085.92</v>
      </c>
      <c r="I393" s="117">
        <v>400</v>
      </c>
      <c r="J393" s="117"/>
      <c r="K393" s="117">
        <v>488.66</v>
      </c>
      <c r="L393" s="117"/>
      <c r="M393" s="117">
        <v>610</v>
      </c>
      <c r="N393" s="117"/>
      <c r="O393" s="117"/>
      <c r="P393" s="117">
        <v>488.66</v>
      </c>
      <c r="Q393" s="117"/>
      <c r="R393" s="117"/>
      <c r="S393" s="68"/>
      <c r="T393" s="68"/>
      <c r="U393" s="68"/>
      <c r="V393" s="68">
        <f t="shared" si="165"/>
        <v>4997.26</v>
      </c>
      <c r="W393" s="68">
        <f t="shared" si="166"/>
        <v>4597.26</v>
      </c>
      <c r="Y393" s="14">
        <f t="shared" si="167"/>
        <v>4997.26</v>
      </c>
      <c r="Z393" s="14">
        <f t="shared" si="168"/>
        <v>4597.26</v>
      </c>
    </row>
    <row r="394" spans="1:26" x14ac:dyDescent="0.25">
      <c r="A394" s="32">
        <v>241</v>
      </c>
      <c r="B394" s="48">
        <v>2893229408</v>
      </c>
      <c r="C394" s="16" t="s">
        <v>649</v>
      </c>
      <c r="D394" s="19" t="s">
        <v>647</v>
      </c>
      <c r="E394" s="19" t="s">
        <v>648</v>
      </c>
      <c r="F394" s="40">
        <v>16</v>
      </c>
      <c r="G394" s="116">
        <v>317.87</v>
      </c>
      <c r="H394" s="117">
        <f t="shared" ref="H394" si="177">F394*G394</f>
        <v>5085.92</v>
      </c>
      <c r="I394" s="117">
        <v>400</v>
      </c>
      <c r="J394" s="117"/>
      <c r="K394" s="117">
        <v>488.66</v>
      </c>
      <c r="L394" s="117"/>
      <c r="M394" s="117">
        <v>610</v>
      </c>
      <c r="N394" s="117"/>
      <c r="O394" s="117"/>
      <c r="P394" s="117">
        <v>488.66</v>
      </c>
      <c r="Q394" s="117"/>
      <c r="R394" s="117"/>
      <c r="S394" s="68"/>
      <c r="T394" s="68"/>
      <c r="U394" s="68"/>
      <c r="V394" s="68">
        <f t="shared" si="165"/>
        <v>4997.26</v>
      </c>
      <c r="W394" s="68">
        <f t="shared" si="166"/>
        <v>4597.26</v>
      </c>
      <c r="Y394" s="14">
        <f t="shared" si="167"/>
        <v>4997.26</v>
      </c>
      <c r="Z394" s="14">
        <f t="shared" si="168"/>
        <v>4597.26</v>
      </c>
    </row>
    <row r="395" spans="1:26" s="10" customFormat="1" x14ac:dyDescent="0.25">
      <c r="A395" s="40">
        <v>230</v>
      </c>
      <c r="B395" s="48">
        <v>1585782892</v>
      </c>
      <c r="C395" s="16" t="s">
        <v>65</v>
      </c>
      <c r="D395" s="161" t="s">
        <v>191</v>
      </c>
      <c r="E395" s="174" t="s">
        <v>82</v>
      </c>
      <c r="F395" s="40">
        <v>16</v>
      </c>
      <c r="G395" s="116">
        <v>317.87</v>
      </c>
      <c r="H395" s="117">
        <f t="shared" si="172"/>
        <v>5085.92</v>
      </c>
      <c r="I395" s="117">
        <v>400</v>
      </c>
      <c r="J395" s="117"/>
      <c r="K395" s="117">
        <v>488.66</v>
      </c>
      <c r="L395" s="117"/>
      <c r="M395" s="117">
        <v>870</v>
      </c>
      <c r="N395" s="117"/>
      <c r="O395" s="117"/>
      <c r="P395" s="117">
        <v>488.66</v>
      </c>
      <c r="Q395" s="117"/>
      <c r="R395" s="117">
        <v>870</v>
      </c>
      <c r="S395" s="68"/>
      <c r="T395" s="68"/>
      <c r="U395" s="68"/>
      <c r="V395" s="68">
        <f t="shared" si="165"/>
        <v>4127.26</v>
      </c>
      <c r="W395" s="68">
        <f t="shared" si="166"/>
        <v>3727.26</v>
      </c>
      <c r="Y395" s="14">
        <f t="shared" si="167"/>
        <v>4127.26</v>
      </c>
      <c r="Z395" s="14">
        <f t="shared" si="168"/>
        <v>3727.26</v>
      </c>
    </row>
    <row r="396" spans="1:26" s="10" customFormat="1" x14ac:dyDescent="0.25">
      <c r="A396" s="40">
        <v>232</v>
      </c>
      <c r="B396" s="48">
        <v>1585782905</v>
      </c>
      <c r="C396" s="16" t="s">
        <v>252</v>
      </c>
      <c r="D396" s="161" t="s">
        <v>191</v>
      </c>
      <c r="E396" s="174" t="s">
        <v>253</v>
      </c>
      <c r="F396" s="40">
        <v>16</v>
      </c>
      <c r="G396" s="116">
        <v>317.87</v>
      </c>
      <c r="H396" s="117">
        <f t="shared" si="172"/>
        <v>5085.92</v>
      </c>
      <c r="I396" s="117">
        <v>400</v>
      </c>
      <c r="J396" s="117"/>
      <c r="K396" s="117">
        <v>488.66</v>
      </c>
      <c r="L396" s="117"/>
      <c r="M396" s="117"/>
      <c r="N396" s="117"/>
      <c r="O396" s="117"/>
      <c r="P396" s="117">
        <v>488.66</v>
      </c>
      <c r="Q396" s="117"/>
      <c r="R396" s="117"/>
      <c r="S396" s="68"/>
      <c r="T396" s="68"/>
      <c r="U396" s="68"/>
      <c r="V396" s="68">
        <f t="shared" si="165"/>
        <v>4997.26</v>
      </c>
      <c r="W396" s="68">
        <f t="shared" si="166"/>
        <v>4597.26</v>
      </c>
      <c r="Y396" s="14">
        <f t="shared" si="167"/>
        <v>4997.26</v>
      </c>
      <c r="Z396" s="14">
        <f t="shared" si="168"/>
        <v>4597.26</v>
      </c>
    </row>
    <row r="397" spans="1:26" s="10" customFormat="1" x14ac:dyDescent="0.25">
      <c r="A397" s="40">
        <v>234</v>
      </c>
      <c r="B397" s="48">
        <v>1585782922</v>
      </c>
      <c r="C397" s="16" t="s">
        <v>268</v>
      </c>
      <c r="D397" s="161" t="s">
        <v>191</v>
      </c>
      <c r="E397" s="174" t="s">
        <v>269</v>
      </c>
      <c r="F397" s="40">
        <v>16</v>
      </c>
      <c r="G397" s="116">
        <v>317.87</v>
      </c>
      <c r="H397" s="117">
        <f t="shared" si="172"/>
        <v>5085.92</v>
      </c>
      <c r="I397" s="117">
        <v>400</v>
      </c>
      <c r="J397" s="117"/>
      <c r="K397" s="117">
        <v>488.66</v>
      </c>
      <c r="L397" s="117"/>
      <c r="M397" s="117">
        <v>870</v>
      </c>
      <c r="N397" s="117"/>
      <c r="O397" s="117"/>
      <c r="P397" s="117">
        <v>488.66</v>
      </c>
      <c r="Q397" s="117"/>
      <c r="R397" s="117"/>
      <c r="S397" s="68"/>
      <c r="T397" s="68"/>
      <c r="U397" s="68"/>
      <c r="V397" s="68">
        <f t="shared" si="165"/>
        <v>4997.26</v>
      </c>
      <c r="W397" s="68">
        <f t="shared" si="166"/>
        <v>4597.26</v>
      </c>
      <c r="Y397" s="14">
        <f t="shared" si="167"/>
        <v>4997.26</v>
      </c>
      <c r="Z397" s="14">
        <f t="shared" si="168"/>
        <v>4597.26</v>
      </c>
    </row>
    <row r="398" spans="1:26" s="10" customFormat="1" ht="27" x14ac:dyDescent="0.25">
      <c r="A398" s="40">
        <v>236</v>
      </c>
      <c r="B398" s="48">
        <v>1585782930</v>
      </c>
      <c r="C398" s="16" t="s">
        <v>59</v>
      </c>
      <c r="D398" s="241" t="s">
        <v>190</v>
      </c>
      <c r="E398" s="174" t="s">
        <v>310</v>
      </c>
      <c r="F398" s="40">
        <v>16</v>
      </c>
      <c r="G398" s="116">
        <v>354.17</v>
      </c>
      <c r="H398" s="117">
        <f t="shared" si="172"/>
        <v>5666.72</v>
      </c>
      <c r="I398" s="117">
        <v>400</v>
      </c>
      <c r="J398" s="117"/>
      <c r="K398" s="117">
        <v>587.66</v>
      </c>
      <c r="L398" s="117"/>
      <c r="M398" s="117">
        <v>870</v>
      </c>
      <c r="N398" s="117"/>
      <c r="O398" s="117">
        <v>1793.71</v>
      </c>
      <c r="P398" s="117">
        <v>587.66</v>
      </c>
      <c r="Q398" s="117"/>
      <c r="R398" s="117">
        <v>870</v>
      </c>
      <c r="S398" s="68"/>
      <c r="T398" s="68">
        <v>1793.71</v>
      </c>
      <c r="U398" s="68"/>
      <c r="V398" s="68">
        <f t="shared" si="165"/>
        <v>2815.3500000000004</v>
      </c>
      <c r="W398" s="68">
        <f t="shared" si="166"/>
        <v>2415.3500000000004</v>
      </c>
      <c r="Y398" s="14">
        <f t="shared" si="167"/>
        <v>2815.3500000000004</v>
      </c>
      <c r="Z398" s="14">
        <f t="shared" si="168"/>
        <v>2415.3500000000004</v>
      </c>
    </row>
    <row r="399" spans="1:26" s="10" customFormat="1" ht="27" x14ac:dyDescent="0.25">
      <c r="A399" s="40">
        <v>237</v>
      </c>
      <c r="B399" s="48">
        <v>1585782948</v>
      </c>
      <c r="C399" s="16" t="s">
        <v>542</v>
      </c>
      <c r="D399" s="168" t="s">
        <v>312</v>
      </c>
      <c r="E399" s="174" t="s">
        <v>543</v>
      </c>
      <c r="F399" s="40">
        <v>16</v>
      </c>
      <c r="G399" s="105">
        <v>251.21</v>
      </c>
      <c r="H399" s="106">
        <f t="shared" si="172"/>
        <v>4019.36</v>
      </c>
      <c r="I399" s="106">
        <v>400</v>
      </c>
      <c r="J399" s="106"/>
      <c r="K399" s="106">
        <v>311.99</v>
      </c>
      <c r="L399" s="106"/>
      <c r="M399" s="106"/>
      <c r="N399" s="106"/>
      <c r="O399" s="106"/>
      <c r="P399" s="106">
        <v>311.99</v>
      </c>
      <c r="Q399" s="106"/>
      <c r="R399" s="106"/>
      <c r="S399" s="68"/>
      <c r="T399" s="68"/>
      <c r="U399" s="68"/>
      <c r="V399" s="68">
        <f t="shared" si="165"/>
        <v>4107.3700000000008</v>
      </c>
      <c r="W399" s="68">
        <f t="shared" si="166"/>
        <v>3707.3700000000008</v>
      </c>
      <c r="Y399" s="14">
        <f t="shared" si="167"/>
        <v>4107.3700000000008</v>
      </c>
      <c r="Z399" s="14">
        <f t="shared" si="168"/>
        <v>3707.3700000000008</v>
      </c>
    </row>
    <row r="400" spans="1:26" s="10" customFormat="1" ht="27" x14ac:dyDescent="0.25">
      <c r="A400" s="40">
        <v>238</v>
      </c>
      <c r="B400" s="48">
        <v>1585782956</v>
      </c>
      <c r="C400" s="16" t="s">
        <v>338</v>
      </c>
      <c r="D400" s="241" t="s">
        <v>312</v>
      </c>
      <c r="E400" s="174" t="s">
        <v>339</v>
      </c>
      <c r="F400" s="40">
        <v>16</v>
      </c>
      <c r="G400" s="116">
        <v>317.87</v>
      </c>
      <c r="H400" s="117">
        <f t="shared" si="172"/>
        <v>5085.92</v>
      </c>
      <c r="I400" s="117">
        <v>400</v>
      </c>
      <c r="J400" s="117"/>
      <c r="K400" s="117">
        <v>488.66</v>
      </c>
      <c r="L400" s="117"/>
      <c r="M400" s="117">
        <v>1000</v>
      </c>
      <c r="N400" s="117"/>
      <c r="O400" s="117"/>
      <c r="P400" s="117">
        <v>488.66</v>
      </c>
      <c r="Q400" s="117"/>
      <c r="R400" s="117">
        <v>1150</v>
      </c>
      <c r="S400" s="68"/>
      <c r="T400" s="68"/>
      <c r="U400" s="68"/>
      <c r="V400" s="68">
        <f t="shared" si="165"/>
        <v>3847.26</v>
      </c>
      <c r="W400" s="68">
        <f t="shared" si="166"/>
        <v>3447.26</v>
      </c>
      <c r="Y400" s="14">
        <f t="shared" si="167"/>
        <v>3847.26</v>
      </c>
      <c r="Z400" s="14">
        <f t="shared" si="168"/>
        <v>3447.26</v>
      </c>
    </row>
    <row r="401" spans="1:26" s="10" customFormat="1" ht="27" x14ac:dyDescent="0.25">
      <c r="A401" s="40">
        <v>239</v>
      </c>
      <c r="B401" s="48">
        <v>1543997200</v>
      </c>
      <c r="C401" s="16" t="s">
        <v>473</v>
      </c>
      <c r="D401" s="241" t="s">
        <v>312</v>
      </c>
      <c r="E401" s="196" t="s">
        <v>474</v>
      </c>
      <c r="F401" s="40">
        <v>16</v>
      </c>
      <c r="G401" s="116">
        <v>317.87</v>
      </c>
      <c r="H401" s="117">
        <f t="shared" si="172"/>
        <v>5085.92</v>
      </c>
      <c r="I401" s="117">
        <v>400</v>
      </c>
      <c r="J401" s="117"/>
      <c r="K401" s="117">
        <v>488.66</v>
      </c>
      <c r="L401" s="117"/>
      <c r="M401" s="117"/>
      <c r="N401" s="117"/>
      <c r="O401" s="117"/>
      <c r="P401" s="117">
        <v>488.66</v>
      </c>
      <c r="Q401" s="117"/>
      <c r="R401" s="117"/>
      <c r="S401" s="68"/>
      <c r="T401" s="68"/>
      <c r="U401" s="68"/>
      <c r="V401" s="68">
        <f t="shared" si="165"/>
        <v>4997.26</v>
      </c>
      <c r="W401" s="68">
        <f t="shared" si="166"/>
        <v>4597.26</v>
      </c>
      <c r="Y401" s="14">
        <f t="shared" si="167"/>
        <v>4997.26</v>
      </c>
      <c r="Z401" s="14">
        <f t="shared" si="168"/>
        <v>4597.26</v>
      </c>
    </row>
    <row r="402" spans="1:26" s="10" customFormat="1" x14ac:dyDescent="0.2">
      <c r="A402" s="45"/>
      <c r="B402" s="29"/>
      <c r="C402" s="197"/>
      <c r="D402" s="197"/>
      <c r="E402" s="236"/>
      <c r="F402" s="292"/>
      <c r="G402" s="292"/>
      <c r="H402" s="136">
        <f t="shared" ref="H402:W402" si="178">SUM(H376:H401)</f>
        <v>138858.23999999999</v>
      </c>
      <c r="I402" s="136">
        <f t="shared" si="178"/>
        <v>10000</v>
      </c>
      <c r="J402" s="136">
        <f t="shared" si="178"/>
        <v>0</v>
      </c>
      <c r="K402" s="136">
        <f t="shared" si="178"/>
        <v>13902.779999999997</v>
      </c>
      <c r="L402" s="136">
        <f t="shared" si="178"/>
        <v>0</v>
      </c>
      <c r="M402" s="136">
        <f t="shared" si="178"/>
        <v>9020</v>
      </c>
      <c r="N402" s="136">
        <f t="shared" si="178"/>
        <v>1774</v>
      </c>
      <c r="O402" s="136">
        <f t="shared" si="178"/>
        <v>3086.46</v>
      </c>
      <c r="P402" s="136">
        <f t="shared" si="178"/>
        <v>13902.779999999997</v>
      </c>
      <c r="Q402" s="136">
        <f t="shared" si="178"/>
        <v>0</v>
      </c>
      <c r="R402" s="136">
        <f t="shared" si="178"/>
        <v>6370</v>
      </c>
      <c r="S402" s="80">
        <f t="shared" si="178"/>
        <v>3583</v>
      </c>
      <c r="T402" s="80">
        <f t="shared" si="178"/>
        <v>3086.46</v>
      </c>
      <c r="U402" s="80">
        <f t="shared" si="178"/>
        <v>300</v>
      </c>
      <c r="V402" s="80">
        <f t="shared" si="178"/>
        <v>121615.99999999997</v>
      </c>
      <c r="W402" s="80">
        <f t="shared" si="178"/>
        <v>111615.99999999997</v>
      </c>
      <c r="Y402" s="15">
        <f>SUM(Y376:Y401)</f>
        <v>121615.99999999997</v>
      </c>
      <c r="Z402" s="15">
        <f>SUM(Z376:Z401)</f>
        <v>111615.99999999997</v>
      </c>
    </row>
    <row r="403" spans="1:26" s="10" customFormat="1" x14ac:dyDescent="0.25">
      <c r="A403" s="43"/>
      <c r="B403" s="58"/>
      <c r="C403" s="163"/>
      <c r="D403" s="27"/>
      <c r="E403" s="233"/>
      <c r="F403" s="73"/>
      <c r="G403" s="129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Y403" s="15"/>
      <c r="Z403" s="15"/>
    </row>
    <row r="404" spans="1:26" s="10" customFormat="1" ht="15.75" thickBot="1" x14ac:dyDescent="0.3">
      <c r="A404" s="43"/>
      <c r="B404" s="58"/>
      <c r="C404" s="169"/>
      <c r="D404" s="170"/>
      <c r="E404" s="234"/>
      <c r="F404" s="88"/>
      <c r="G404" s="88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</row>
    <row r="405" spans="1:26" ht="15.75" thickBot="1" x14ac:dyDescent="0.3">
      <c r="A405" s="46"/>
      <c r="B405" s="58"/>
      <c r="D405" s="267"/>
      <c r="E405" s="237" t="s">
        <v>197</v>
      </c>
      <c r="F405" s="137"/>
      <c r="G405" s="137"/>
      <c r="H405" s="138">
        <f t="shared" ref="H405:W405" si="179">H402+H371+H364+H355+H348+H339+H331+H320+H297+H285+H277+H271+H233+H225+H219+H207+H186+H173+H160+H153+H146+H129+H116+H106+H99+H92+H86+H81+H73+H57+H50+H41+H30+H19</f>
        <v>1229753.6000000001</v>
      </c>
      <c r="I405" s="138">
        <f t="shared" si="179"/>
        <v>76000</v>
      </c>
      <c r="J405" s="138">
        <f t="shared" si="179"/>
        <v>1757.4</v>
      </c>
      <c r="K405" s="138" t="e">
        <f t="shared" si="179"/>
        <v>#REF!</v>
      </c>
      <c r="L405" s="138" t="e">
        <f t="shared" si="179"/>
        <v>#REF!</v>
      </c>
      <c r="M405" s="138" t="e">
        <f t="shared" si="179"/>
        <v>#REF!</v>
      </c>
      <c r="N405" s="138">
        <f t="shared" si="179"/>
        <v>42967.329137599983</v>
      </c>
      <c r="O405" s="138">
        <f t="shared" si="179"/>
        <v>87838.659999999989</v>
      </c>
      <c r="P405" s="138">
        <f t="shared" si="179"/>
        <v>142960.50907359994</v>
      </c>
      <c r="Q405" s="138">
        <f t="shared" si="179"/>
        <v>2177.85</v>
      </c>
      <c r="R405" s="138">
        <f t="shared" si="179"/>
        <v>66550</v>
      </c>
      <c r="S405" s="138">
        <f>S402+S371+S364+S355+S348+S339+S331+S320+S297+S285+S277+S271+S233+S225+S219+S207+S186+S173+S160+S153+S146+S129+S116+S106+S99+S92+S86+S81+S73+S57+S50+S41+S30+S19</f>
        <v>44547</v>
      </c>
      <c r="T405" s="138">
        <f t="shared" si="179"/>
        <v>4646.66</v>
      </c>
      <c r="U405" s="138">
        <f t="shared" si="179"/>
        <v>4500</v>
      </c>
      <c r="V405" s="138">
        <f t="shared" si="179"/>
        <v>1043667.2380303998</v>
      </c>
      <c r="W405" s="266">
        <f t="shared" si="179"/>
        <v>967667.23803039978</v>
      </c>
      <c r="Y405" s="17">
        <f>Y402+Y371+Y364+Y355+Y348+Y339+Y331+Y320+Y297+Y285+Y277+Y271+Y233+Y225+Y219+Y207+Y186+Y173+Y160+Y153+Y146+Y129+Y116+Y106+Y99+Y92+Y86+Y81+Y73+Y57+Y50+Y41+Y30+Y19</f>
        <v>1043667.2380303998</v>
      </c>
      <c r="Z405" s="20">
        <f>Z402+Z371+Z364+Z355+Z348+Z339+Z331+Z320+Z297+Z285+Z277+Z271+Z233+Z225+Z219+Z207+Z186+Z173+Z160+Z153+Z146+Z129+Z116+Z106+Z99+Z92+Z86+Z81+Z73+Z57+Z50+Z41+Z30+Z19</f>
        <v>967667.23803039978</v>
      </c>
    </row>
    <row r="406" spans="1:26" x14ac:dyDescent="0.25">
      <c r="A406" s="46"/>
      <c r="B406" s="58"/>
      <c r="E406" s="238"/>
      <c r="F406" s="139"/>
      <c r="G406" s="139"/>
      <c r="H406" s="139"/>
      <c r="I406" s="140"/>
      <c r="J406" s="139"/>
      <c r="K406" s="139"/>
      <c r="L406" s="139"/>
      <c r="M406" s="139"/>
      <c r="N406" s="139"/>
      <c r="O406" s="139"/>
      <c r="P406" s="139"/>
      <c r="Q406" s="139"/>
      <c r="R406" s="140"/>
      <c r="S406" s="139"/>
      <c r="T406" s="139"/>
      <c r="U406" s="139"/>
      <c r="V406" s="140"/>
      <c r="W406" s="139"/>
      <c r="Y406" s="14">
        <f>Y405-V405</f>
        <v>0</v>
      </c>
    </row>
    <row r="407" spans="1:26" ht="15.75" x14ac:dyDescent="0.25">
      <c r="A407" s="46"/>
      <c r="B407" s="58"/>
      <c r="D407" s="170"/>
      <c r="E407" s="234"/>
      <c r="F407" s="88"/>
      <c r="G407" s="88"/>
      <c r="H407" s="104"/>
      <c r="I407" s="295"/>
      <c r="J407" s="295"/>
      <c r="K407" s="88"/>
      <c r="L407" s="88"/>
      <c r="M407" s="88"/>
      <c r="N407" s="88"/>
      <c r="O407" s="88"/>
      <c r="P407" s="104"/>
      <c r="Q407" s="88"/>
      <c r="R407" s="88"/>
      <c r="S407" s="283" t="s">
        <v>573</v>
      </c>
      <c r="T407" s="283"/>
      <c r="U407" s="283"/>
      <c r="V407" s="283"/>
      <c r="W407" s="208">
        <f>W385+W384+W307+W302+W229+W193+W103+W380</f>
        <v>36844.72032</v>
      </c>
      <c r="X407" s="14"/>
      <c r="Y407" s="14"/>
    </row>
    <row r="408" spans="1:26" ht="16.5" thickBot="1" x14ac:dyDescent="0.3">
      <c r="A408" s="46"/>
      <c r="B408" s="58"/>
      <c r="D408" s="201"/>
      <c r="E408" s="239"/>
      <c r="F408" s="141"/>
      <c r="G408" s="141"/>
      <c r="H408" s="142"/>
      <c r="I408" s="142"/>
      <c r="J408" s="293"/>
      <c r="K408" s="293"/>
      <c r="L408" s="293"/>
      <c r="M408" s="293"/>
      <c r="N408" s="293"/>
      <c r="O408" s="293"/>
      <c r="P408" s="293"/>
      <c r="Q408" s="142"/>
      <c r="R408" s="141"/>
      <c r="S408" s="143"/>
      <c r="T408" s="284" t="s">
        <v>471</v>
      </c>
      <c r="U408" s="284"/>
      <c r="V408" s="284"/>
      <c r="W408" s="207">
        <f>T276+T398+T380</f>
        <v>4626.66</v>
      </c>
    </row>
    <row r="409" spans="1:26" ht="21" x14ac:dyDescent="0.25">
      <c r="A409" s="46"/>
      <c r="B409" s="250"/>
      <c r="C409" s="249"/>
      <c r="D409" s="201"/>
      <c r="E409" s="239"/>
      <c r="F409" s="141"/>
      <c r="G409" s="141"/>
      <c r="H409" s="142"/>
      <c r="I409" s="142"/>
      <c r="J409" s="89"/>
      <c r="K409" s="89"/>
      <c r="L409" s="89"/>
      <c r="M409" s="89"/>
      <c r="N409" s="89"/>
      <c r="O409" s="89"/>
      <c r="P409" s="89"/>
      <c r="Q409" s="142"/>
      <c r="R409" s="141"/>
      <c r="S409" s="144"/>
      <c r="T409" s="145"/>
      <c r="U409" s="291" t="s">
        <v>572</v>
      </c>
      <c r="V409" s="291"/>
      <c r="W409" s="146">
        <f>W407+W408</f>
        <v>41471.380319999997</v>
      </c>
    </row>
    <row r="410" spans="1:26" ht="16.5" thickBot="1" x14ac:dyDescent="0.3">
      <c r="A410" s="46"/>
      <c r="B410" s="58"/>
      <c r="D410" s="201"/>
      <c r="E410" s="239"/>
      <c r="F410" s="141"/>
      <c r="G410" s="141"/>
      <c r="H410" s="142"/>
      <c r="I410" s="142"/>
      <c r="J410" s="89"/>
      <c r="K410" s="89"/>
      <c r="L410" s="89"/>
      <c r="M410" s="89"/>
      <c r="N410" s="89"/>
      <c r="O410" s="89"/>
      <c r="P410" s="89"/>
      <c r="Q410" s="142"/>
      <c r="R410" s="141"/>
      <c r="S410" s="144"/>
      <c r="T410" s="145"/>
      <c r="U410" s="147"/>
      <c r="V410" s="156"/>
      <c r="W410" s="146"/>
    </row>
    <row r="411" spans="1:26" ht="16.5" thickBot="1" x14ac:dyDescent="0.3">
      <c r="A411" s="46"/>
      <c r="B411" s="58"/>
      <c r="D411" s="201"/>
      <c r="E411" s="239"/>
      <c r="F411" s="141"/>
      <c r="G411" s="141"/>
      <c r="H411" s="89"/>
      <c r="I411" s="141"/>
      <c r="J411" s="293"/>
      <c r="K411" s="293"/>
      <c r="L411" s="293"/>
      <c r="M411" s="293"/>
      <c r="N411" s="293"/>
      <c r="O411" s="293"/>
      <c r="P411" s="293"/>
      <c r="Q411" s="89"/>
      <c r="R411" s="141"/>
      <c r="S411" s="145"/>
      <c r="T411" s="145"/>
      <c r="U411" s="285" t="s">
        <v>472</v>
      </c>
      <c r="V411" s="286"/>
      <c r="W411" s="148">
        <f>W405-W407-W410</f>
        <v>930822.51771039981</v>
      </c>
      <c r="X411" s="14"/>
    </row>
    <row r="412" spans="1:26" ht="16.5" thickBot="1" x14ac:dyDescent="0.3">
      <c r="A412" s="46"/>
      <c r="B412" s="58"/>
      <c r="D412" s="201"/>
      <c r="E412" s="239"/>
      <c r="F412" s="141"/>
      <c r="G412" s="141"/>
      <c r="H412" s="89"/>
      <c r="I412" s="89"/>
      <c r="J412" s="293"/>
      <c r="K412" s="293"/>
      <c r="L412" s="293"/>
      <c r="M412" s="293"/>
      <c r="N412" s="293"/>
      <c r="O412" s="293"/>
      <c r="P412" s="293"/>
      <c r="Q412" s="89"/>
      <c r="R412" s="141"/>
      <c r="S412" s="145"/>
      <c r="T412" s="145"/>
      <c r="U412" s="145"/>
      <c r="V412" s="155"/>
      <c r="W412" s="155"/>
    </row>
    <row r="413" spans="1:26" ht="16.5" thickBot="1" x14ac:dyDescent="0.3">
      <c r="A413" s="46"/>
      <c r="B413" s="58"/>
      <c r="D413" s="170"/>
      <c r="E413" s="234"/>
      <c r="F413" s="88"/>
      <c r="G413" s="88"/>
      <c r="H413" s="104"/>
      <c r="I413" s="88"/>
      <c r="J413" s="88"/>
      <c r="K413" s="88"/>
      <c r="L413" s="88"/>
      <c r="M413" s="88"/>
      <c r="N413" s="88"/>
      <c r="O413" s="88"/>
      <c r="P413" s="88"/>
      <c r="Q413" s="88"/>
      <c r="R413" s="104"/>
      <c r="S413" s="287" t="s">
        <v>549</v>
      </c>
      <c r="T413" s="288"/>
      <c r="U413" s="288"/>
      <c r="V413" s="289"/>
      <c r="W413" s="149">
        <v>930822.52</v>
      </c>
      <c r="X413" s="14"/>
    </row>
    <row r="414" spans="1:26" ht="15.75" x14ac:dyDescent="0.25">
      <c r="A414" s="46"/>
      <c r="B414" s="58"/>
      <c r="H414" s="150"/>
      <c r="U414" s="150"/>
      <c r="W414" s="151">
        <f>W411-W413</f>
        <v>-2.2896002046763897E-3</v>
      </c>
      <c r="X414" s="14"/>
    </row>
    <row r="415" spans="1:26" x14ac:dyDescent="0.25">
      <c r="A415" s="46"/>
      <c r="B415" s="58"/>
      <c r="H415" s="150"/>
      <c r="J415" s="150"/>
      <c r="K415" s="150"/>
      <c r="L415" s="150"/>
      <c r="M415" s="150"/>
      <c r="N415" s="150"/>
      <c r="O415" s="150"/>
      <c r="R415" s="150"/>
      <c r="S415" s="150"/>
      <c r="T415" s="150"/>
      <c r="W415" s="150"/>
    </row>
    <row r="416" spans="1:26" x14ac:dyDescent="0.25">
      <c r="A416" s="46"/>
      <c r="B416" s="58"/>
      <c r="H416" s="152"/>
      <c r="I416" s="153"/>
      <c r="P416" s="150"/>
    </row>
    <row r="417" spans="1:20" x14ac:dyDescent="0.25">
      <c r="A417" s="46"/>
      <c r="B417" s="58"/>
      <c r="J417" s="150"/>
      <c r="K417" s="150"/>
      <c r="L417" s="150"/>
      <c r="M417" s="150"/>
      <c r="N417" s="150"/>
      <c r="O417" s="150"/>
      <c r="Q417" s="150"/>
      <c r="R417" s="150"/>
      <c r="S417" s="150"/>
    </row>
    <row r="418" spans="1:20" x14ac:dyDescent="0.25">
      <c r="A418" s="46"/>
      <c r="B418" s="58"/>
      <c r="J418" s="150"/>
      <c r="K418" s="150"/>
      <c r="L418" s="150"/>
      <c r="M418" s="150"/>
      <c r="N418" s="150"/>
      <c r="O418" s="150"/>
    </row>
    <row r="420" spans="1:20" x14ac:dyDescent="0.25">
      <c r="T420" s="150"/>
    </row>
  </sheetData>
  <mergeCells count="48">
    <mergeCell ref="A75:W75"/>
    <mergeCell ref="A2:W2"/>
    <mergeCell ref="A3:W3"/>
    <mergeCell ref="A59:W59"/>
    <mergeCell ref="A6:W6"/>
    <mergeCell ref="A4:W4"/>
    <mergeCell ref="A22:W22"/>
    <mergeCell ref="A33:W33"/>
    <mergeCell ref="A1:W1"/>
    <mergeCell ref="A120:W120"/>
    <mergeCell ref="A133:W133"/>
    <mergeCell ref="J408:P408"/>
    <mergeCell ref="J411:P411"/>
    <mergeCell ref="A274:W274"/>
    <mergeCell ref="A281:W281"/>
    <mergeCell ref="A289:W289"/>
    <mergeCell ref="I407:J407"/>
    <mergeCell ref="A357:W357"/>
    <mergeCell ref="A300:W300"/>
    <mergeCell ref="A323:W323"/>
    <mergeCell ref="A334:W334"/>
    <mergeCell ref="A341:W341"/>
    <mergeCell ref="A44:W44"/>
    <mergeCell ref="A52:W52"/>
    <mergeCell ref="S407:V407"/>
    <mergeCell ref="T408:V408"/>
    <mergeCell ref="U411:V411"/>
    <mergeCell ref="A235:W235"/>
    <mergeCell ref="S413:V413"/>
    <mergeCell ref="A350:W350"/>
    <mergeCell ref="A367:W367"/>
    <mergeCell ref="U409:V409"/>
    <mergeCell ref="A374:W374"/>
    <mergeCell ref="F402:G402"/>
    <mergeCell ref="J412:P412"/>
    <mergeCell ref="A189:W189"/>
    <mergeCell ref="A210:W210"/>
    <mergeCell ref="A222:W222"/>
    <mergeCell ref="A227:W227"/>
    <mergeCell ref="A148:W148"/>
    <mergeCell ref="A155:W155"/>
    <mergeCell ref="A162:W162"/>
    <mergeCell ref="A175:W175"/>
    <mergeCell ref="A83:W83"/>
    <mergeCell ref="A88:W88"/>
    <mergeCell ref="A95:W95"/>
    <mergeCell ref="A101:W101"/>
    <mergeCell ref="A108:W108"/>
  </mergeCells>
  <pageMargins left="0.23622047244094491" right="0" top="0.43307086614173229" bottom="0.55118110236220474" header="0.51181102362204722" footer="0.43307086614173229"/>
  <pageSetup paperSize="5" scale="65" orientation="landscape" r:id="rId1"/>
  <ignoredErrors>
    <ignoredError sqref="P26 N28 N70 P70 N166 N30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A4" sqref="A4"/>
    </sheetView>
  </sheetViews>
  <sheetFormatPr baseColWidth="10" defaultRowHeight="15" x14ac:dyDescent="0.25"/>
  <cols>
    <col min="1" max="16384" width="11.42578125" style="2"/>
  </cols>
  <sheetData>
    <row r="2" spans="1:13" x14ac:dyDescent="0.25">
      <c r="A2" s="1" t="s">
        <v>278</v>
      </c>
      <c r="B2" s="1"/>
      <c r="C2" s="1"/>
      <c r="D2" s="1"/>
      <c r="E2" s="1"/>
      <c r="F2" s="1"/>
      <c r="H2" s="1" t="s">
        <v>279</v>
      </c>
      <c r="I2" s="1"/>
      <c r="J2" s="1"/>
      <c r="K2" s="1"/>
      <c r="L2" s="1"/>
      <c r="M2" s="1"/>
    </row>
    <row r="3" spans="1:13" x14ac:dyDescent="0.25">
      <c r="A3" s="1" t="s">
        <v>280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281</v>
      </c>
      <c r="B4" s="4"/>
      <c r="C4" s="4"/>
      <c r="D4" s="4"/>
      <c r="E4" s="4"/>
      <c r="F4" s="4"/>
      <c r="H4" s="1" t="s">
        <v>282</v>
      </c>
      <c r="I4" s="1"/>
      <c r="J4" s="1"/>
      <c r="K4" s="1"/>
      <c r="L4" s="1"/>
      <c r="M4" s="3"/>
    </row>
    <row r="5" spans="1:13" x14ac:dyDescent="0.25">
      <c r="A5" s="1" t="s">
        <v>283</v>
      </c>
      <c r="B5" s="1"/>
      <c r="C5" s="1"/>
      <c r="D5" s="1"/>
      <c r="E5" s="1"/>
      <c r="F5" s="1"/>
      <c r="H5" s="1" t="s">
        <v>284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285</v>
      </c>
      <c r="C8" s="5" t="s">
        <v>286</v>
      </c>
      <c r="D8" s="5" t="s">
        <v>287</v>
      </c>
      <c r="E8" s="5" t="s">
        <v>288</v>
      </c>
      <c r="H8" s="3"/>
      <c r="I8" s="5" t="s">
        <v>289</v>
      </c>
      <c r="J8" s="5" t="s">
        <v>290</v>
      </c>
      <c r="K8" s="5" t="s">
        <v>291</v>
      </c>
      <c r="L8" s="3"/>
      <c r="M8" s="3"/>
    </row>
    <row r="9" spans="1:13" x14ac:dyDescent="0.25">
      <c r="B9" s="5" t="s">
        <v>292</v>
      </c>
      <c r="C9" s="5" t="s">
        <v>293</v>
      </c>
      <c r="D9" s="5" t="s">
        <v>294</v>
      </c>
      <c r="E9" s="5" t="s">
        <v>295</v>
      </c>
      <c r="H9" s="3"/>
      <c r="I9" s="5" t="s">
        <v>296</v>
      </c>
      <c r="J9" s="5" t="s">
        <v>296</v>
      </c>
      <c r="K9" s="5" t="s">
        <v>297</v>
      </c>
      <c r="L9" s="3"/>
      <c r="M9" s="3"/>
    </row>
    <row r="10" spans="1:13" x14ac:dyDescent="0.25">
      <c r="B10" s="6" t="s">
        <v>298</v>
      </c>
      <c r="C10" s="6" t="s">
        <v>298</v>
      </c>
      <c r="D10" s="6" t="s">
        <v>298</v>
      </c>
      <c r="E10" s="6" t="s">
        <v>299</v>
      </c>
    </row>
    <row r="11" spans="1:13" x14ac:dyDescent="0.25">
      <c r="B11" s="7">
        <v>0.01</v>
      </c>
      <c r="C11" s="7">
        <v>244.8</v>
      </c>
      <c r="D11" s="7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7">
        <v>244.81</v>
      </c>
      <c r="C12" s="7">
        <v>2077.5</v>
      </c>
      <c r="D12" s="7">
        <v>4.6500000000000004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7">
        <v>2077.5100000000002</v>
      </c>
      <c r="C13" s="7">
        <v>3651</v>
      </c>
      <c r="D13" s="7">
        <v>121.95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7">
        <v>3651.01</v>
      </c>
      <c r="C14" s="7">
        <v>4244</v>
      </c>
      <c r="D14" s="7">
        <v>293.25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7">
        <v>4244.01</v>
      </c>
      <c r="C15" s="7">
        <v>5081</v>
      </c>
      <c r="D15" s="7">
        <v>388.05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7">
        <v>5081.01</v>
      </c>
      <c r="C16" s="7">
        <v>10248</v>
      </c>
      <c r="D16" s="7">
        <v>538.20000000000005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7">
        <v>10248.01</v>
      </c>
      <c r="C17" s="7">
        <v>16153</v>
      </c>
      <c r="D17" s="7">
        <v>1641.75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7">
        <v>16153.01</v>
      </c>
      <c r="C18" s="7">
        <v>30838</v>
      </c>
      <c r="D18" s="7">
        <v>3030.6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7">
        <v>30838.01</v>
      </c>
      <c r="C19" s="7">
        <v>41118</v>
      </c>
      <c r="D19" s="7">
        <v>7436.25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7">
        <v>41118.01</v>
      </c>
      <c r="C20" s="7">
        <v>123355</v>
      </c>
      <c r="D20" s="7">
        <v>10725.75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7">
        <v>123355.01</v>
      </c>
      <c r="C21" s="7" t="s">
        <v>300</v>
      </c>
      <c r="D21" s="7">
        <v>38686.35</v>
      </c>
      <c r="E21" s="8">
        <v>0.35</v>
      </c>
      <c r="F21" s="9"/>
      <c r="I21" s="7">
        <v>3642.61</v>
      </c>
      <c r="J21" s="3" t="s">
        <v>300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1" sqref="A1:G30"/>
    </sheetView>
  </sheetViews>
  <sheetFormatPr baseColWidth="10" defaultRowHeight="15" x14ac:dyDescent="0.25"/>
  <cols>
    <col min="1" max="1" width="7.28515625" customWidth="1"/>
    <col min="2" max="2" width="13" customWidth="1"/>
    <col min="6" max="6" width="8" customWidth="1"/>
    <col min="7" max="7" width="9.7109375" customWidth="1"/>
    <col min="8" max="8" width="16.42578125" customWidth="1"/>
  </cols>
  <sheetData>
    <row r="1" spans="1:7" ht="16.5" customHeight="1" x14ac:dyDescent="0.25">
      <c r="B1" s="335" t="s">
        <v>446</v>
      </c>
      <c r="C1" s="335"/>
      <c r="D1" s="335"/>
      <c r="E1" s="335"/>
      <c r="F1" s="335"/>
      <c r="G1" s="335"/>
    </row>
    <row r="2" spans="1:7" ht="21" customHeight="1" x14ac:dyDescent="0.25">
      <c r="B2" s="335"/>
      <c r="C2" s="335"/>
      <c r="D2" s="335"/>
      <c r="E2" s="335"/>
      <c r="F2" s="335"/>
      <c r="G2" s="335"/>
    </row>
    <row r="3" spans="1:7" ht="24" customHeight="1" x14ac:dyDescent="0.25">
      <c r="B3" s="337" t="s">
        <v>447</v>
      </c>
      <c r="C3" s="337"/>
      <c r="D3" s="337"/>
      <c r="E3" s="337"/>
      <c r="F3" s="337"/>
      <c r="G3" s="337"/>
    </row>
    <row r="4" spans="1:7" ht="27" customHeight="1" x14ac:dyDescent="0.25">
      <c r="B4" s="338" t="s">
        <v>619</v>
      </c>
      <c r="C4" s="338"/>
      <c r="D4" s="338"/>
      <c r="E4" s="338"/>
      <c r="F4" s="338"/>
      <c r="G4" s="338"/>
    </row>
    <row r="5" spans="1:7" ht="15.75" x14ac:dyDescent="0.25">
      <c r="B5" s="210"/>
      <c r="C5" s="210"/>
      <c r="D5" s="210"/>
      <c r="E5" s="210"/>
      <c r="F5" s="210"/>
      <c r="G5" s="210"/>
    </row>
    <row r="6" spans="1:7" ht="18.75" x14ac:dyDescent="0.3">
      <c r="A6" s="339" t="s">
        <v>628</v>
      </c>
      <c r="B6" s="339"/>
      <c r="C6" s="339"/>
      <c r="D6" s="339"/>
      <c r="E6" s="339"/>
      <c r="F6" s="339"/>
      <c r="G6" s="339"/>
    </row>
    <row r="7" spans="1:7" ht="18.75" x14ac:dyDescent="0.3">
      <c r="A7" s="339" t="s">
        <v>676</v>
      </c>
      <c r="B7" s="339"/>
      <c r="C7" s="339"/>
      <c r="D7" s="339"/>
      <c r="E7" s="339"/>
      <c r="F7" s="339"/>
      <c r="G7" s="339"/>
    </row>
    <row r="8" spans="1:7" ht="18.75" x14ac:dyDescent="0.3">
      <c r="B8" s="213"/>
      <c r="C8" s="213"/>
      <c r="D8" s="213"/>
      <c r="E8" s="213"/>
      <c r="F8" s="213"/>
      <c r="G8" s="213"/>
    </row>
    <row r="9" spans="1:7" ht="18.75" x14ac:dyDescent="0.3">
      <c r="A9" s="336" t="s">
        <v>627</v>
      </c>
      <c r="B9" s="336"/>
      <c r="C9" s="336"/>
      <c r="D9" s="336"/>
      <c r="E9" s="336"/>
      <c r="F9" s="336"/>
      <c r="G9" s="336"/>
    </row>
    <row r="10" spans="1:7" ht="15.75" x14ac:dyDescent="0.25">
      <c r="A10" s="211" t="s">
        <v>621</v>
      </c>
      <c r="B10" s="325" t="s">
        <v>17</v>
      </c>
      <c r="C10" s="326"/>
      <c r="D10" s="326"/>
      <c r="E10" s="326"/>
      <c r="F10" s="327" t="s">
        <v>620</v>
      </c>
      <c r="G10" s="328"/>
    </row>
    <row r="11" spans="1:7" ht="15.75" x14ac:dyDescent="0.25">
      <c r="A11" s="209">
        <v>1</v>
      </c>
      <c r="B11" s="315" t="s">
        <v>217</v>
      </c>
      <c r="C11" s="315"/>
      <c r="D11" s="315"/>
      <c r="E11" s="315"/>
      <c r="F11" s="316">
        <v>8029.48</v>
      </c>
      <c r="G11" s="317"/>
    </row>
    <row r="12" spans="1:7" ht="15.75" x14ac:dyDescent="0.25">
      <c r="A12" s="223">
        <v>2</v>
      </c>
      <c r="B12" s="331" t="s">
        <v>195</v>
      </c>
      <c r="C12" s="332"/>
      <c r="D12" s="332"/>
      <c r="E12" s="333"/>
      <c r="F12" s="334">
        <v>5483.94</v>
      </c>
      <c r="G12" s="334"/>
    </row>
    <row r="13" spans="1:7" ht="15.75" x14ac:dyDescent="0.25">
      <c r="A13" s="209">
        <v>3</v>
      </c>
      <c r="B13" s="307" t="s">
        <v>371</v>
      </c>
      <c r="C13" s="308"/>
      <c r="D13" s="308"/>
      <c r="E13" s="309"/>
      <c r="F13" s="310">
        <v>5503.94</v>
      </c>
      <c r="G13" s="310"/>
    </row>
    <row r="14" spans="1:7" ht="15.75" x14ac:dyDescent="0.25">
      <c r="A14" s="223">
        <v>4</v>
      </c>
      <c r="B14" s="307" t="s">
        <v>660</v>
      </c>
      <c r="C14" s="308"/>
      <c r="D14" s="308"/>
      <c r="E14" s="309"/>
      <c r="F14" s="310">
        <v>6496.48</v>
      </c>
      <c r="G14" s="310"/>
    </row>
    <row r="15" spans="1:7" ht="15.75" x14ac:dyDescent="0.25">
      <c r="A15" s="209">
        <v>5</v>
      </c>
      <c r="B15" s="307" t="s">
        <v>521</v>
      </c>
      <c r="C15" s="308"/>
      <c r="D15" s="308"/>
      <c r="E15" s="309"/>
      <c r="F15" s="318">
        <v>1863.85</v>
      </c>
      <c r="G15" s="318"/>
    </row>
    <row r="16" spans="1:7" ht="15.75" x14ac:dyDescent="0.25">
      <c r="A16" s="223">
        <v>6</v>
      </c>
      <c r="B16" s="315" t="s">
        <v>346</v>
      </c>
      <c r="C16" s="315"/>
      <c r="D16" s="315"/>
      <c r="E16" s="315"/>
      <c r="F16" s="318">
        <v>3497.26</v>
      </c>
      <c r="G16" s="318"/>
    </row>
    <row r="17" spans="1:7" ht="15.75" x14ac:dyDescent="0.25">
      <c r="A17" s="209">
        <v>7</v>
      </c>
      <c r="B17" s="315" t="s">
        <v>565</v>
      </c>
      <c r="C17" s="315"/>
      <c r="D17" s="315"/>
      <c r="E17" s="315"/>
      <c r="F17" s="318">
        <v>4597.26</v>
      </c>
      <c r="G17" s="318"/>
    </row>
    <row r="18" spans="1:7" ht="15.75" x14ac:dyDescent="0.25">
      <c r="A18" s="223">
        <v>8</v>
      </c>
      <c r="B18" s="307" t="s">
        <v>490</v>
      </c>
      <c r="C18" s="308"/>
      <c r="D18" s="308"/>
      <c r="E18" s="309"/>
      <c r="F18" s="329">
        <v>1372.51</v>
      </c>
      <c r="G18" s="330"/>
    </row>
    <row r="19" spans="1:7" ht="15.75" x14ac:dyDescent="0.25">
      <c r="B19" s="200"/>
      <c r="C19" s="200"/>
      <c r="D19" s="319" t="s">
        <v>622</v>
      </c>
      <c r="E19" s="320"/>
      <c r="F19" s="321">
        <f>SUM(F11:G18)</f>
        <v>36844.720000000001</v>
      </c>
      <c r="G19" s="322"/>
    </row>
    <row r="20" spans="1:7" x14ac:dyDescent="0.25">
      <c r="B20" s="200"/>
      <c r="C20" s="200"/>
      <c r="D20" s="219"/>
      <c r="E20" s="220"/>
      <c r="F20" s="221"/>
      <c r="G20" s="222"/>
    </row>
    <row r="22" spans="1:7" ht="21" x14ac:dyDescent="0.35">
      <c r="A22" s="323" t="s">
        <v>623</v>
      </c>
      <c r="B22" s="324"/>
      <c r="C22" s="324"/>
      <c r="D22" s="324"/>
      <c r="E22" s="324"/>
      <c r="F22" s="324"/>
      <c r="G22" s="324"/>
    </row>
    <row r="23" spans="1:7" ht="15.75" x14ac:dyDescent="0.25">
      <c r="A23" s="211" t="s">
        <v>621</v>
      </c>
      <c r="B23" s="325" t="s">
        <v>17</v>
      </c>
      <c r="C23" s="326"/>
      <c r="D23" s="326"/>
      <c r="E23" s="326"/>
      <c r="F23" s="327" t="s">
        <v>620</v>
      </c>
      <c r="G23" s="328"/>
    </row>
    <row r="24" spans="1:7" ht="15.75" x14ac:dyDescent="0.25">
      <c r="A24" s="209">
        <v>1</v>
      </c>
      <c r="B24" s="315" t="s">
        <v>624</v>
      </c>
      <c r="C24" s="315"/>
      <c r="D24" s="315"/>
      <c r="E24" s="315"/>
      <c r="F24" s="316">
        <v>1292.75</v>
      </c>
      <c r="G24" s="317"/>
    </row>
    <row r="25" spans="1:7" ht="15.75" x14ac:dyDescent="0.25">
      <c r="A25" s="209">
        <v>2</v>
      </c>
      <c r="B25" s="307" t="s">
        <v>625</v>
      </c>
      <c r="C25" s="308"/>
      <c r="D25" s="308"/>
      <c r="E25" s="309"/>
      <c r="F25" s="310">
        <v>1793.71</v>
      </c>
      <c r="G25" s="310"/>
    </row>
    <row r="26" spans="1:7" ht="15.75" x14ac:dyDescent="0.25">
      <c r="A26" s="209">
        <v>3</v>
      </c>
      <c r="B26" s="307" t="s">
        <v>626</v>
      </c>
      <c r="C26" s="308"/>
      <c r="D26" s="308"/>
      <c r="E26" s="309"/>
      <c r="F26" s="310">
        <v>1540.2</v>
      </c>
      <c r="G26" s="310"/>
    </row>
    <row r="27" spans="1:7" ht="15.75" x14ac:dyDescent="0.25">
      <c r="D27" s="311" t="s">
        <v>622</v>
      </c>
      <c r="E27" s="312"/>
      <c r="F27" s="313">
        <f>SUM(F24:G26)</f>
        <v>4626.66</v>
      </c>
      <c r="G27" s="314"/>
    </row>
    <row r="29" spans="1:7" ht="15.75" thickBot="1" x14ac:dyDescent="0.3"/>
    <row r="30" spans="1:7" ht="21.75" thickBot="1" x14ac:dyDescent="0.4">
      <c r="D30" s="302" t="s">
        <v>622</v>
      </c>
      <c r="E30" s="303"/>
      <c r="F30" s="304">
        <f>F27+F19</f>
        <v>41471.380000000005</v>
      </c>
      <c r="G30" s="305"/>
    </row>
    <row r="31" spans="1:7" x14ac:dyDescent="0.25">
      <c r="F31" s="306"/>
      <c r="G31" s="306"/>
    </row>
  </sheetData>
  <mergeCells count="40">
    <mergeCell ref="B1:G2"/>
    <mergeCell ref="A9:G9"/>
    <mergeCell ref="B3:G3"/>
    <mergeCell ref="B4:G4"/>
    <mergeCell ref="A6:G6"/>
    <mergeCell ref="A7:G7"/>
    <mergeCell ref="B10:E10"/>
    <mergeCell ref="F10:G10"/>
    <mergeCell ref="B11:E11"/>
    <mergeCell ref="F11:G11"/>
    <mergeCell ref="B15:E15"/>
    <mergeCell ref="F15:G15"/>
    <mergeCell ref="B12:E12"/>
    <mergeCell ref="F12:G12"/>
    <mergeCell ref="B13:E13"/>
    <mergeCell ref="F13:G13"/>
    <mergeCell ref="B14:E14"/>
    <mergeCell ref="F14:G14"/>
    <mergeCell ref="B24:E24"/>
    <mergeCell ref="F24:G24"/>
    <mergeCell ref="B16:E16"/>
    <mergeCell ref="F16:G16"/>
    <mergeCell ref="B17:E17"/>
    <mergeCell ref="F17:G17"/>
    <mergeCell ref="D19:E19"/>
    <mergeCell ref="F19:G19"/>
    <mergeCell ref="A22:G22"/>
    <mergeCell ref="B23:E23"/>
    <mergeCell ref="F23:G23"/>
    <mergeCell ref="B18:E18"/>
    <mergeCell ref="F18:G18"/>
    <mergeCell ref="D30:E30"/>
    <mergeCell ref="F30:G30"/>
    <mergeCell ref="F31:G31"/>
    <mergeCell ref="B25:E25"/>
    <mergeCell ref="F25:G25"/>
    <mergeCell ref="B26:E26"/>
    <mergeCell ref="F26:G26"/>
    <mergeCell ref="D27:E27"/>
    <mergeCell ref="F27:G27"/>
  </mergeCells>
  <pageMargins left="0.7" right="0.7" top="0.75" bottom="0.75" header="0.3" footer="0.3"/>
  <pageSetup paperSize="9" orientation="portrait" horizontalDpi="150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PERSONAL ADMINISTRATIVO</vt:lpstr>
      <vt:lpstr>T Y T</vt:lpstr>
      <vt:lpstr>Hoja1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2020-08-24T15:18:26Z</cp:lastPrinted>
  <dcterms:created xsi:type="dcterms:W3CDTF">2012-09-01T00:58:13Z</dcterms:created>
  <dcterms:modified xsi:type="dcterms:W3CDTF">2020-08-24T15:27:07Z</dcterms:modified>
</cp:coreProperties>
</file>